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40" windowWidth="15480" windowHeight="4695" activeTab="0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'[1]PNT-QUOT-#3'!#REF!</definedName>
    <definedName name="\0">'[1]PNT-QUOT-#3'!#REF!</definedName>
    <definedName name="\z" localSheetId="1">'[1]COAT&amp;WRAP-QIOT-#3'!#REF!</definedName>
    <definedName name="\z">'[1]COAT&amp;WRAP-QIOT-#3'!#REF!</definedName>
    <definedName name="A" localSheetId="1">'[1]PNT-QUOT-#3'!#REF!</definedName>
    <definedName name="A">'[1]PNT-QUOT-#3'!#REF!</definedName>
    <definedName name="AAA" localSheetId="1">'[2]MTL$-INTER'!#REF!</definedName>
    <definedName name="AAA">'[2]MTL$-INTER'!#REF!</definedName>
    <definedName name="aù0" localSheetId="1">'[3]bang tien luong'!#REF!</definedName>
    <definedName name="aù0">'[3]bang tien luong'!#REF!</definedName>
    <definedName name="B">'[1]PNT-QUOT-#3'!#REF!</definedName>
    <definedName name="BIEU1COQUAN">#REF!</definedName>
    <definedName name="BIEU1DAN">'[4]Bieu1-dan'!$A$10:$K$26</definedName>
    <definedName name="BIEU1LUAT">'[4]Bieu1-Luật'!$A$10:$K$26</definedName>
    <definedName name="COAT">'[1]PNT-QUOT-#3'!#REF!</definedName>
    <definedName name="DACBIET">#REF!</definedName>
    <definedName name="DANTRONGHINHCQ">#REF!</definedName>
    <definedName name="DON_giA">'[5]DON GIA CAN THO'!$A$4:$F$196</definedName>
    <definedName name="FP">'[1]COAT&amp;WRAP-QIOT-#3'!#REF!</definedName>
    <definedName name="Hinh_thuc">"bangtra"</definedName>
    <definedName name="IO">'[1]COAT&amp;WRAP-QIOT-#3'!#REF!</definedName>
    <definedName name="MAT">'[1]COAT&amp;WRAP-QIOT-#3'!#REF!</definedName>
    <definedName name="MF">'[1]COAT&amp;WRAP-QIOT-#3'!#REF!</definedName>
    <definedName name="P">'[1]PNT-QUOT-#3'!#REF!</definedName>
    <definedName name="PEJM">'[1]COAT&amp;WRAP-QIOT-#3'!#REF!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1">'[1]COAT&amp;WRAP-QIOT-#3'!#REF!</definedName>
    <definedName name="RT">'[1]COAT&amp;WRAP-QIOT-#3'!#REF!</definedName>
    <definedName name="SB">'[6]IBASE'!$AH$7:$AL$14</definedName>
    <definedName name="SO">#REF!</definedName>
    <definedName name="SORT_AREA">'[7]DI-ESTI'!$A$8:$R$489</definedName>
    <definedName name="SP">'[1]PNT-QUOT-#3'!#REF!</definedName>
    <definedName name="THK">'[1]COAT&amp;WRAP-QIOT-#3'!#REF!</definedName>
    <definedName name="TongSo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<sst xmlns="http://schemas.openxmlformats.org/spreadsheetml/2006/main" count="261" uniqueCount="136">
  <si>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</si>
  <si>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</si>
  <si>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</si>
  <si>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</si>
  <si>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</si>
  <si>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</si>
  <si>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</si>
  <si>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</si>
  <si>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</si>
  <si>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</si>
  <si>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</si>
  <si>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</si>
  <si>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</si>
  <si>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lệ: (xong+dình chỉ/ 
có điều kiện*100%)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</si>
  <si>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</si>
  <si>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</si>
  <si>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</si>
  <si>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</si>
  <si>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</si>
  <si>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</si>
  <si>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</si>
  <si>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</si>
  <si>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</si>
  <si>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</si>
  <si>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</si>
  <si>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</si>
  <si>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</si>
  <si>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</si>
  <si>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</si>
  <si>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</si>
  <si>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</si>
  <si>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</si>
  <si>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 xml:space="preserve">
Giảm thi hành án</t>
  </si>
  <si>
    <t>Toàn tỉnh</t>
  </si>
  <si>
    <t>II</t>
  </si>
  <si>
    <t>III</t>
  </si>
  <si>
    <t>Chi cục THADS tx Thuận An</t>
  </si>
  <si>
    <t>IV</t>
  </si>
  <si>
    <t>Chi cục THADS tx Dĩ An</t>
  </si>
  <si>
    <t>Lý Khắc Châu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</si>
  <si>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</si>
  <si>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</si>
  <si>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</si>
  <si>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</si>
  <si>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</si>
  <si>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Hồ Quý Sơn</t>
  </si>
  <si>
    <t>Trương Công Hân</t>
  </si>
  <si>
    <t>Nguyễn Thanh Tùng</t>
  </si>
  <si>
    <t>Nguyễn Thị Xuân</t>
  </si>
  <si>
    <t>Võ Thị Thanh Xuân</t>
  </si>
  <si>
    <t>Đào Ngọc Hồng</t>
  </si>
  <si>
    <t>Trần Ngọc Anh</t>
  </si>
  <si>
    <t>Phạm Văn Bình</t>
  </si>
  <si>
    <t>Lương Hoàng Hà</t>
  </si>
  <si>
    <t>Chi cục THADS tx Bến Cát</t>
  </si>
  <si>
    <t>Tô Văn Hồng</t>
  </si>
  <si>
    <t>Nguyễn Thị Kim Hiền</t>
  </si>
  <si>
    <t>Nguyễn Thị Điệp</t>
  </si>
  <si>
    <t>Lê Xuân Giáo</t>
  </si>
  <si>
    <t>Chi cục THADS tx Tân Uyên</t>
  </si>
  <si>
    <t>Nguyễn Thị Nguyệt</t>
  </si>
  <si>
    <t>Đặng Văn Hà</t>
  </si>
  <si>
    <t>Lê Kim Liễu</t>
  </si>
  <si>
    <t>Đinh Duy Bằng</t>
  </si>
  <si>
    <t>Nguyễn Hoàng Nam</t>
  </si>
  <si>
    <t>Võ Ngọc Son</t>
  </si>
  <si>
    <t>Chi cục THADS huyện Dầu Tiếng</t>
  </si>
  <si>
    <t>Đỗ Tấn Quốc</t>
  </si>
  <si>
    <t>Nguyễn Ngọc Hùng</t>
  </si>
  <si>
    <t>Thái Văn Cần</t>
  </si>
  <si>
    <t>Lê Thanh Việt</t>
  </si>
  <si>
    <t>Chi cục THADS huyện Phú Giáo</t>
  </si>
  <si>
    <t>Nguyễn Tuyết Phượng</t>
  </si>
  <si>
    <t>Nguyễn Tấn Linh</t>
  </si>
  <si>
    <t>Chi cục THADS huyện Bàu Bàng</t>
  </si>
  <si>
    <t>Nguyễn Quang Truyền</t>
  </si>
  <si>
    <t>Trần Thanh Sơn</t>
  </si>
  <si>
    <t>Chi cục THADS huyện Bắc Tân Uyên</t>
  </si>
  <si>
    <t>Nguyễn Quang Hòa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</si>
  <si>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</si>
  <si>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</si>
  <si>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</si>
  <si>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</si>
  <si>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</si>
  <si>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</si>
  <si>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</si>
  <si>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</si>
  <si>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Nguyễn Văn Thanh</t>
  </si>
  <si>
    <t>Nguyễn Hùng Phong</t>
  </si>
  <si>
    <t>Bùi Thị Trúc Linh</t>
  </si>
  <si>
    <t>Vương Minh Chung</t>
  </si>
  <si>
    <t>Lưu Thị Huyền Nga</t>
  </si>
  <si>
    <t>Đoàn Minh Đạo</t>
  </si>
  <si>
    <t>Nguyễn Trương Bảo Lâm</t>
  </si>
  <si>
    <t>KT.CỤC TRƯỞNG</t>
  </si>
  <si>
    <t>PHÓ CỤC TRƯỞNG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</si>
  <si>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</si>
  <si>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</si>
  <si>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</si>
  <si>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</si>
  <si>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</si>
  <si>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</si>
  <si>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</si>
  <si>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</si>
  <si>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</si>
  <si>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</si>
  <si>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Trịnh Thị Hằng</t>
  </si>
  <si>
    <t xml:space="preserve">Năm trước chuyển sang </t>
  </si>
  <si>
    <t xml:space="preserve">Chi cục THADS tp Thủ Dầu Một </t>
  </si>
  <si>
    <t xml:space="preserve">Chi cục THADS tx Dĩ An </t>
  </si>
  <si>
    <t>Đinh Hữu Tính</t>
  </si>
  <si>
    <t>Nguyễn Thị Sáu Tuýt</t>
  </si>
  <si>
    <t>Chu Thị Ngọc Duyên</t>
  </si>
  <si>
    <t>Lê Thế Anh (CR_TLM)</t>
  </si>
  <si>
    <t>Chi cục THADS tx Bến Cát 671</t>
  </si>
  <si>
    <t>Nguyễn Văn Chiến (CR-TLM:02)</t>
  </si>
  <si>
    <t>Nguyễn Văn Chiến (CR- TLM: 55.254.633)</t>
  </si>
  <si>
    <t>Chi cục THADS tp Thủ Dầu Một</t>
  </si>
  <si>
    <t xml:space="preserve">Cục THADS tỉnh </t>
  </si>
  <si>
    <t>Nguyễn Ngọc Bé</t>
  </si>
  <si>
    <t>Lê Thế Anh (CR-TLM)</t>
  </si>
  <si>
    <t>Nguyễn Việt Hòa (TLM)</t>
  </si>
  <si>
    <t>KẾ HOẠCH GIẢI QUYẾT ÁN 2 THÁNG CUỐI NĂM 2016 VỀ TIỀN</t>
  </si>
  <si>
    <t>KẾ HOẠCH GIẢI QUYẾT ÁN 2 THÁNG CUỐI NĂM 2016 VỀ VIỆC</t>
  </si>
  <si>
    <t>Ngày       tháng    8    năm 2016</t>
  </si>
  <si>
    <t>Ngày     tháng 8    năm 2016</t>
  </si>
  <si>
    <t>Chủ động</t>
  </si>
  <si>
    <t>Theo đơn</t>
  </si>
  <si>
    <t>Trong đó</t>
  </si>
  <si>
    <t>Số tiền phải giải quyết xong để đạt chỉ tiêu Cục giao</t>
  </si>
  <si>
    <t>Nguyễn Tuyết Phượng (TLM)</t>
  </si>
  <si>
    <t>Chỉ tiêu Cục giao</t>
  </si>
  <si>
    <t>Số việc  phải GQ xong để đạt chỉ tiêu Cục giao</t>
  </si>
  <si>
    <t>11x</t>
  </si>
  <si>
    <t xml:space="preserve">11  tháng năm 2016 </t>
  </si>
  <si>
    <t xml:space="preserve">11 tháng năm 2016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</si>
</sst>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</numFmts>
  <fonts count="83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i/>
      <sz val="12"/>
      <name val="Arial"/>
      <family val="2"/>
    </font>
    <font>
      <b/>
      <i/>
      <sz val="8"/>
      <color indexed="12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18"/>
      <name val="Times New Roman"/>
      <family val="1"/>
    </font>
    <font>
      <sz val="9"/>
      <color indexed="30"/>
      <name val="Times New Roman"/>
      <family val="1"/>
    </font>
    <font>
      <b/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9"/>
      <color indexed="53"/>
      <name val="Times New Roman"/>
      <family val="1"/>
    </font>
    <font>
      <sz val="8"/>
      <color indexed="40"/>
      <name val="Times New Roman"/>
      <family val="1"/>
    </font>
    <font>
      <b/>
      <sz val="8"/>
      <color indexed="40"/>
      <name val="Times New Roman"/>
      <family val="1"/>
    </font>
    <font>
      <sz val="11"/>
      <color indexed="8"/>
      <name val="Times New Roman"/>
      <family val="0"/>
    </font>
    <font>
      <sz val="11"/>
      <color indexed="9"/>
      <name val="Calibri"/>
      <family val="0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sz val="9"/>
      <color theme="4" tint="-0.24997000396251678"/>
      <name val="Times New Roman"/>
      <family val="1"/>
    </font>
    <font>
      <b/>
      <sz val="9"/>
      <color theme="4" tint="-0.24997000396251678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00B0F0"/>
      <name val="Times New Roman"/>
      <family val="1"/>
    </font>
    <font>
      <b/>
      <sz val="9"/>
      <color theme="3" tint="-0.24997000396251678"/>
      <name val="Times New Roman"/>
      <family val="1"/>
    </font>
    <font>
      <sz val="9"/>
      <color rgb="FF0070C0"/>
      <name val="Times New Roman"/>
      <family val="1"/>
    </font>
    <font>
      <b/>
      <sz val="8"/>
      <color theme="3" tint="0.39998000860214233"/>
      <name val="Times New Roman"/>
      <family val="1"/>
    </font>
    <font>
      <sz val="8"/>
      <color theme="3" tint="-0.24997000396251678"/>
      <name val="Times New Roman"/>
      <family val="1"/>
    </font>
    <font>
      <b/>
      <sz val="8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9"/>
      <color theme="9" tint="-0.24997000396251678"/>
      <name val="Times New Roman"/>
      <family val="1"/>
    </font>
    <font>
      <b/>
      <sz val="8"/>
      <color rgb="FF00B0F0"/>
      <name val="Times New Roman"/>
      <family val="1"/>
    </font>
    <font>
      <sz val="8"/>
      <color rgb="FF00B0F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192">
    <xf numFmtId="0" fontId="0" fillId="0" borderId="0" xfId="0" applyAlignment="1">
      <alignment/>
    </xf>
    <xf numFmtId="0" fontId="28" fillId="0" borderId="0" xfId="0" applyFont="1" applyAlignment="1" applyProtection="1">
      <alignment horizontal="center"/>
      <protection locked="0"/>
    </xf>
    <xf numFmtId="0" fontId="28" fillId="0" borderId="0" xfId="66" applyFont="1" applyFill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6" fillId="24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66" applyFont="1" applyFill="1" applyAlignment="1" applyProtection="1">
      <alignment horizontal="center"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66" applyFont="1" applyFill="1" applyAlignment="1" applyProtection="1">
      <alignment horizontal="center"/>
      <protection locked="0"/>
    </xf>
    <xf numFmtId="0" fontId="27" fillId="0" borderId="0" xfId="66" applyFont="1" applyFill="1" applyProtection="1">
      <alignment/>
      <protection locked="0"/>
    </xf>
    <xf numFmtId="0" fontId="28" fillId="25" borderId="10" xfId="65" applyFont="1" applyFill="1" applyBorder="1" applyAlignment="1" applyProtection="1">
      <alignment horizontal="center" vertical="center"/>
      <protection locked="0"/>
    </xf>
    <xf numFmtId="0" fontId="27" fillId="26" borderId="10" xfId="65" applyFont="1" applyFill="1" applyBorder="1" applyAlignment="1" applyProtection="1">
      <alignment horizontal="center" vertical="center"/>
      <protection locked="0"/>
    </xf>
    <xf numFmtId="3" fontId="27" fillId="26" borderId="10" xfId="0" applyNumberFormat="1" applyFont="1" applyFill="1" applyBorder="1" applyAlignment="1" applyProtection="1">
      <alignment vertical="center" wrapText="1"/>
      <protection locked="0"/>
    </xf>
    <xf numFmtId="3" fontId="28" fillId="26" borderId="10" xfId="65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Fill="1" applyBorder="1" applyAlignment="1" applyProtection="1">
      <alignment vertical="center" wrapText="1"/>
      <protection locked="0"/>
    </xf>
    <xf numFmtId="3" fontId="27" fillId="26" borderId="10" xfId="65" applyNumberFormat="1" applyFont="1" applyFill="1" applyBorder="1" applyAlignment="1" applyProtection="1">
      <alignment horizontal="right" vertical="center"/>
      <protection hidden="1"/>
    </xf>
    <xf numFmtId="3" fontId="28" fillId="25" borderId="10" xfId="65" applyNumberFormat="1" applyFont="1" applyFill="1" applyBorder="1" applyAlignment="1" applyProtection="1">
      <alignment horizontal="right" vertical="center"/>
      <protection locked="0"/>
    </xf>
    <xf numFmtId="0" fontId="30" fillId="0" borderId="0" xfId="66" applyFont="1" applyFill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164" fontId="25" fillId="0" borderId="0" xfId="42" applyNumberFormat="1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67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49" fontId="25" fillId="25" borderId="10" xfId="65" applyNumberFormat="1" applyFont="1" applyFill="1" applyBorder="1" applyAlignment="1" applyProtection="1">
      <alignment horizontal="center" vertical="center"/>
      <protection locked="0"/>
    </xf>
    <xf numFmtId="49" fontId="67" fillId="25" borderId="10" xfId="65" applyNumberFormat="1" applyFont="1" applyFill="1" applyBorder="1" applyAlignment="1" applyProtection="1">
      <alignment horizontal="center" vertical="center"/>
      <protection locked="0"/>
    </xf>
    <xf numFmtId="3" fontId="31" fillId="26" borderId="10" xfId="65" applyNumberFormat="1" applyFont="1" applyFill="1" applyBorder="1" applyAlignment="1" applyProtection="1">
      <alignment horizontal="center" vertical="center"/>
      <protection locked="0"/>
    </xf>
    <xf numFmtId="3" fontId="31" fillId="26" borderId="10" xfId="0" applyNumberFormat="1" applyFont="1" applyFill="1" applyBorder="1" applyAlignment="1" applyProtection="1">
      <alignment vertical="center" wrapText="1"/>
      <protection locked="0"/>
    </xf>
    <xf numFmtId="3" fontId="31" fillId="26" borderId="10" xfId="65" applyNumberFormat="1" applyFont="1" applyFill="1" applyBorder="1" applyAlignment="1" applyProtection="1">
      <alignment vertical="center"/>
      <protection hidden="1"/>
    </xf>
    <xf numFmtId="3" fontId="68" fillId="26" borderId="10" xfId="65" applyNumberFormat="1" applyFont="1" applyFill="1" applyBorder="1" applyAlignment="1" applyProtection="1">
      <alignment vertical="center"/>
      <protection hidden="1"/>
    </xf>
    <xf numFmtId="4" fontId="31" fillId="26" borderId="10" xfId="65" applyNumberFormat="1" applyFont="1" applyFill="1" applyBorder="1" applyAlignment="1" applyProtection="1">
      <alignment horizontal="right" vertical="center"/>
      <protection hidden="1"/>
    </xf>
    <xf numFmtId="3" fontId="31" fillId="26" borderId="11" xfId="0" applyNumberFormat="1" applyFont="1" applyFill="1" applyBorder="1" applyAlignment="1" applyProtection="1">
      <alignment vertical="center" wrapText="1"/>
      <protection locked="0"/>
    </xf>
    <xf numFmtId="3" fontId="69" fillId="26" borderId="10" xfId="65" applyNumberFormat="1" applyFont="1" applyFill="1" applyBorder="1" applyAlignment="1" applyProtection="1">
      <alignment/>
      <protection hidden="1"/>
    </xf>
    <xf numFmtId="4" fontId="31" fillId="26" borderId="10" xfId="65" applyNumberFormat="1" applyFont="1" applyFill="1" applyBorder="1" applyAlignment="1" applyProtection="1">
      <alignment horizontal="right"/>
      <protection hidden="1"/>
    </xf>
    <xf numFmtId="3" fontId="25" fillId="25" borderId="10" xfId="65" applyNumberFormat="1" applyFont="1" applyFill="1" applyBorder="1" applyAlignment="1" applyProtection="1">
      <alignment horizontal="center" vertical="center"/>
      <protection locked="0"/>
    </xf>
    <xf numFmtId="3" fontId="25" fillId="0" borderId="11" xfId="0" applyNumberFormat="1" applyFont="1" applyFill="1" applyBorder="1" applyAlignment="1" applyProtection="1">
      <alignment vertical="center" wrapText="1"/>
      <protection locked="0"/>
    </xf>
    <xf numFmtId="3" fontId="70" fillId="25" borderId="10" xfId="65" applyNumberFormat="1" applyFont="1" applyFill="1" applyBorder="1" applyAlignment="1" applyProtection="1">
      <alignment vertical="center"/>
      <protection locked="0"/>
    </xf>
    <xf numFmtId="3" fontId="25" fillId="25" borderId="10" xfId="65" applyNumberFormat="1" applyFont="1" applyFill="1" applyBorder="1" applyAlignment="1" applyProtection="1">
      <alignment vertical="center"/>
      <protection locked="0"/>
    </xf>
    <xf numFmtId="3" fontId="31" fillId="25" borderId="10" xfId="65" applyNumberFormat="1" applyFont="1" applyFill="1" applyBorder="1" applyAlignment="1" applyProtection="1">
      <alignment vertical="center"/>
      <protection locked="0"/>
    </xf>
    <xf numFmtId="3" fontId="25" fillId="26" borderId="10" xfId="65" applyNumberFormat="1" applyFont="1" applyFill="1" applyBorder="1" applyAlignment="1" applyProtection="1">
      <alignment vertical="center"/>
      <protection hidden="1"/>
    </xf>
    <xf numFmtId="3" fontId="25" fillId="25" borderId="10" xfId="69" applyNumberFormat="1" applyFont="1" applyFill="1" applyBorder="1" applyAlignment="1" applyProtection="1">
      <alignment vertical="center"/>
      <protection locked="0"/>
    </xf>
    <xf numFmtId="4" fontId="25" fillId="26" borderId="10" xfId="65" applyNumberFormat="1" applyFont="1" applyFill="1" applyBorder="1" applyAlignment="1" applyProtection="1">
      <alignment horizontal="right"/>
      <protection hidden="1"/>
    </xf>
    <xf numFmtId="3" fontId="31" fillId="25" borderId="10" xfId="69" applyNumberFormat="1" applyFont="1" applyFill="1" applyBorder="1" applyAlignment="1" applyProtection="1">
      <alignment vertical="center"/>
      <protection locked="0"/>
    </xf>
    <xf numFmtId="3" fontId="71" fillId="26" borderId="10" xfId="65" applyNumberFormat="1" applyFont="1" applyFill="1" applyBorder="1" applyAlignment="1" applyProtection="1">
      <alignment vertical="center"/>
      <protection hidden="1"/>
    </xf>
    <xf numFmtId="3" fontId="72" fillId="0" borderId="10" xfId="0" applyNumberFormat="1" applyFont="1" applyFill="1" applyBorder="1" applyAlignment="1" applyProtection="1">
      <alignment/>
      <protection locked="0"/>
    </xf>
    <xf numFmtId="3" fontId="25" fillId="0" borderId="10" xfId="0" applyNumberFormat="1" applyFont="1" applyFill="1" applyBorder="1" applyAlignment="1" applyProtection="1">
      <alignment/>
      <protection locked="0"/>
    </xf>
    <xf numFmtId="4" fontId="27" fillId="26" borderId="10" xfId="65" applyNumberFormat="1" applyFont="1" applyFill="1" applyBorder="1" applyAlignment="1" applyProtection="1">
      <alignment horizontal="right" vertical="center"/>
      <protection hidden="1"/>
    </xf>
    <xf numFmtId="0" fontId="27" fillId="26" borderId="11" xfId="0" applyFont="1" applyFill="1" applyBorder="1" applyAlignment="1" applyProtection="1">
      <alignment vertical="center" wrapText="1"/>
      <protection locked="0"/>
    </xf>
    <xf numFmtId="3" fontId="73" fillId="26" borderId="10" xfId="65" applyNumberFormat="1" applyFont="1" applyFill="1" applyBorder="1" applyAlignment="1" applyProtection="1">
      <alignment horizontal="right" vertical="center"/>
      <protection hidden="1"/>
    </xf>
    <xf numFmtId="4" fontId="28" fillId="0" borderId="10" xfId="65" applyNumberFormat="1" applyFont="1" applyFill="1" applyBorder="1" applyAlignment="1" applyProtection="1">
      <alignment horizontal="right"/>
      <protection hidden="1"/>
    </xf>
    <xf numFmtId="3" fontId="67" fillId="0" borderId="10" xfId="65" applyNumberFormat="1" applyFont="1" applyFill="1" applyBorder="1" applyAlignment="1" applyProtection="1">
      <alignment vertical="center"/>
      <protection hidden="1"/>
    </xf>
    <xf numFmtId="3" fontId="72" fillId="0" borderId="10" xfId="65" applyNumberFormat="1" applyFont="1" applyFill="1" applyBorder="1" applyAlignment="1" applyProtection="1">
      <alignment/>
      <protection hidden="1"/>
    </xf>
    <xf numFmtId="3" fontId="66" fillId="0" borderId="10" xfId="65" applyNumberFormat="1" applyFont="1" applyFill="1" applyBorder="1" applyAlignment="1" applyProtection="1">
      <alignment horizontal="right" vertical="center"/>
      <protection hidden="1"/>
    </xf>
    <xf numFmtId="3" fontId="74" fillId="0" borderId="10" xfId="65" applyNumberFormat="1" applyFont="1" applyFill="1" applyBorder="1" applyAlignment="1" applyProtection="1">
      <alignment horizontal="right"/>
      <protection hidden="1"/>
    </xf>
    <xf numFmtId="3" fontId="28" fillId="24" borderId="10" xfId="65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Alignment="1" applyProtection="1">
      <alignment horizontal="center"/>
      <protection locked="0"/>
    </xf>
    <xf numFmtId="0" fontId="66" fillId="25" borderId="11" xfId="65" applyFont="1" applyFill="1" applyBorder="1" applyAlignment="1" applyProtection="1">
      <alignment horizontal="center" vertical="center"/>
      <protection locked="0"/>
    </xf>
    <xf numFmtId="3" fontId="65" fillId="26" borderId="10" xfId="65" applyNumberFormat="1" applyFont="1" applyFill="1" applyBorder="1" applyAlignment="1" applyProtection="1">
      <alignment horizontal="right" vertical="center"/>
      <protection hidden="1"/>
    </xf>
    <xf numFmtId="3" fontId="66" fillId="25" borderId="10" xfId="65" applyNumberFormat="1" applyFont="1" applyFill="1" applyBorder="1" applyAlignment="1" applyProtection="1">
      <alignment horizontal="right" vertical="center"/>
      <protection locked="0"/>
    </xf>
    <xf numFmtId="0" fontId="66" fillId="0" borderId="0" xfId="66" applyFont="1" applyFill="1" applyProtection="1">
      <alignment/>
      <protection locked="0"/>
    </xf>
    <xf numFmtId="0" fontId="65" fillId="0" borderId="0" xfId="66" applyFont="1" applyFill="1" applyProtection="1">
      <alignment/>
      <protection locked="0"/>
    </xf>
    <xf numFmtId="0" fontId="27" fillId="0" borderId="0" xfId="66" applyFont="1" applyFill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 locked="0"/>
    </xf>
    <xf numFmtId="3" fontId="69" fillId="26" borderId="10" xfId="65" applyNumberFormat="1" applyFont="1" applyFill="1" applyBorder="1" applyAlignment="1" applyProtection="1">
      <alignment vertical="center"/>
      <protection hidden="1"/>
    </xf>
    <xf numFmtId="3" fontId="75" fillId="26" borderId="10" xfId="65" applyNumberFormat="1" applyFont="1" applyFill="1" applyBorder="1" applyAlignment="1" applyProtection="1">
      <alignment horizontal="right" vertical="center"/>
      <protection hidden="1"/>
    </xf>
    <xf numFmtId="3" fontId="76" fillId="25" borderId="10" xfId="65" applyNumberFormat="1" applyFont="1" applyFill="1" applyBorder="1" applyAlignment="1" applyProtection="1">
      <alignment horizontal="right" vertical="center"/>
      <protection locked="0"/>
    </xf>
    <xf numFmtId="0" fontId="77" fillId="0" borderId="0" xfId="0" applyFont="1" applyFill="1" applyAlignment="1" applyProtection="1">
      <alignment/>
      <protection locked="0"/>
    </xf>
    <xf numFmtId="0" fontId="77" fillId="0" borderId="0" xfId="0" applyFont="1" applyAlignment="1" applyProtection="1">
      <alignment/>
      <protection locked="0"/>
    </xf>
    <xf numFmtId="49" fontId="77" fillId="25" borderId="10" xfId="65" applyNumberFormat="1" applyFont="1" applyFill="1" applyBorder="1" applyAlignment="1" applyProtection="1">
      <alignment horizontal="center" vertical="center"/>
      <protection locked="0"/>
    </xf>
    <xf numFmtId="3" fontId="78" fillId="26" borderId="10" xfId="65" applyNumberFormat="1" applyFont="1" applyFill="1" applyBorder="1" applyAlignment="1" applyProtection="1">
      <alignment vertical="center"/>
      <protection hidden="1"/>
    </xf>
    <xf numFmtId="3" fontId="78" fillId="25" borderId="10" xfId="65" applyNumberFormat="1" applyFont="1" applyFill="1" applyBorder="1" applyAlignment="1" applyProtection="1">
      <alignment vertical="center"/>
      <protection locked="0"/>
    </xf>
    <xf numFmtId="3" fontId="77" fillId="25" borderId="10" xfId="65" applyNumberFormat="1" applyFont="1" applyFill="1" applyBorder="1" applyAlignment="1" applyProtection="1">
      <alignment vertical="center"/>
      <protection locked="0"/>
    </xf>
    <xf numFmtId="3" fontId="77" fillId="0" borderId="10" xfId="0" applyNumberFormat="1" applyFont="1" applyFill="1" applyBorder="1" applyAlignment="1" applyProtection="1">
      <alignment/>
      <protection locked="0"/>
    </xf>
    <xf numFmtId="0" fontId="28" fillId="0" borderId="10" xfId="66" applyFont="1" applyFill="1" applyBorder="1" applyProtection="1">
      <alignment/>
      <protection locked="0"/>
    </xf>
    <xf numFmtId="3" fontId="28" fillId="0" borderId="10" xfId="66" applyNumberFormat="1" applyFont="1" applyFill="1" applyBorder="1" applyProtection="1">
      <alignment/>
      <protection locked="0"/>
    </xf>
    <xf numFmtId="3" fontId="27" fillId="26" borderId="10" xfId="66" applyNumberFormat="1" applyFont="1" applyFill="1" applyBorder="1" applyProtection="1">
      <alignment/>
      <protection locked="0"/>
    </xf>
    <xf numFmtId="3" fontId="31" fillId="26" borderId="0" xfId="0" applyNumberFormat="1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/>
      <protection locked="0"/>
    </xf>
    <xf numFmtId="0" fontId="35" fillId="26" borderId="10" xfId="0" applyFont="1" applyFill="1" applyBorder="1" applyAlignment="1" applyProtection="1">
      <alignment/>
      <protection locked="0"/>
    </xf>
    <xf numFmtId="3" fontId="35" fillId="26" borderId="10" xfId="0" applyNumberFormat="1" applyFont="1" applyFill="1" applyBorder="1" applyAlignment="1" applyProtection="1">
      <alignment/>
      <protection locked="0"/>
    </xf>
    <xf numFmtId="3" fontId="36" fillId="26" borderId="10" xfId="66" applyNumberFormat="1" applyFont="1" applyFill="1" applyBorder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3" fontId="37" fillId="0" borderId="10" xfId="0" applyNumberFormat="1" applyFont="1" applyBorder="1" applyAlignment="1" applyProtection="1">
      <alignment/>
      <protection locked="0"/>
    </xf>
    <xf numFmtId="3" fontId="35" fillId="0" borderId="10" xfId="0" applyNumberFormat="1" applyFont="1" applyBorder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4" fontId="35" fillId="0" borderId="10" xfId="0" applyNumberFormat="1" applyFont="1" applyBorder="1" applyAlignment="1" applyProtection="1">
      <alignment/>
      <protection locked="0"/>
    </xf>
    <xf numFmtId="4" fontId="35" fillId="26" borderId="10" xfId="0" applyNumberFormat="1" applyFont="1" applyFill="1" applyBorder="1" applyAlignment="1" applyProtection="1">
      <alignment/>
      <protection locked="0"/>
    </xf>
    <xf numFmtId="4" fontId="38" fillId="0" borderId="0" xfId="66" applyNumberFormat="1" applyFont="1" applyFill="1" applyProtection="1">
      <alignment/>
      <protection locked="0"/>
    </xf>
    <xf numFmtId="4" fontId="38" fillId="0" borderId="0" xfId="66" applyNumberFormat="1" applyFont="1" applyFill="1" applyAlignment="1" applyProtection="1">
      <alignment horizontal="center" wrapText="1"/>
      <protection locked="0"/>
    </xf>
    <xf numFmtId="4" fontId="40" fillId="0" borderId="0" xfId="66" applyNumberFormat="1" applyFont="1" applyFill="1" applyProtection="1">
      <alignment/>
      <protection locked="0"/>
    </xf>
    <xf numFmtId="4" fontId="38" fillId="0" borderId="10" xfId="66" applyNumberFormat="1" applyFont="1" applyFill="1" applyBorder="1" applyProtection="1">
      <alignment/>
      <protection locked="0"/>
    </xf>
    <xf numFmtId="4" fontId="38" fillId="26" borderId="10" xfId="66" applyNumberFormat="1" applyFont="1" applyFill="1" applyBorder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12" xfId="65" applyNumberFormat="1" applyFont="1" applyBorder="1" applyAlignment="1" applyProtection="1">
      <alignment horizontal="center" vertical="center" wrapText="1"/>
      <protection locked="0"/>
    </xf>
    <xf numFmtId="0" fontId="31" fillId="0" borderId="13" xfId="65" applyNumberFormat="1" applyFont="1" applyBorder="1" applyAlignment="1" applyProtection="1">
      <alignment horizontal="center" vertical="center" wrapText="1"/>
      <protection locked="0"/>
    </xf>
    <xf numFmtId="0" fontId="31" fillId="0" borderId="14" xfId="65" applyNumberFormat="1" applyFont="1" applyBorder="1" applyAlignment="1" applyProtection="1">
      <alignment horizontal="center" vertical="center" wrapText="1"/>
      <protection locked="0"/>
    </xf>
    <xf numFmtId="0" fontId="31" fillId="0" borderId="15" xfId="65" applyNumberFormat="1" applyFont="1" applyBorder="1" applyAlignment="1" applyProtection="1">
      <alignment horizontal="center" vertical="center" wrapText="1"/>
      <protection locked="0"/>
    </xf>
    <xf numFmtId="0" fontId="31" fillId="0" borderId="16" xfId="65" applyNumberFormat="1" applyFont="1" applyBorder="1" applyAlignment="1" applyProtection="1">
      <alignment horizontal="center" vertical="center" wrapText="1"/>
      <protection locked="0"/>
    </xf>
    <xf numFmtId="0" fontId="31" fillId="0" borderId="17" xfId="65" applyNumberFormat="1" applyFont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49" fontId="25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31" fillId="0" borderId="22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70" fillId="24" borderId="0" xfId="0" applyFont="1" applyFill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31" fillId="0" borderId="0" xfId="0" applyFont="1" applyFill="1" applyAlignment="1" applyProtection="1">
      <alignment horizontal="center"/>
      <protection locked="0"/>
    </xf>
    <xf numFmtId="49" fontId="31" fillId="25" borderId="21" xfId="65" applyNumberFormat="1" applyFont="1" applyFill="1" applyBorder="1" applyAlignment="1" applyProtection="1">
      <alignment horizontal="center" vertical="center" wrapText="1"/>
      <protection locked="0"/>
    </xf>
    <xf numFmtId="49" fontId="31" fillId="25" borderId="22" xfId="65" applyNumberFormat="1" applyFont="1" applyFill="1" applyBorder="1" applyAlignment="1" applyProtection="1">
      <alignment horizontal="center" vertical="center" wrapText="1"/>
      <protection locked="0"/>
    </xf>
    <xf numFmtId="0" fontId="72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72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2" fillId="24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25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6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49" fontId="67" fillId="0" borderId="10" xfId="65" applyNumberFormat="1" applyFont="1" applyFill="1" applyBorder="1" applyAlignment="1" applyProtection="1">
      <alignment horizontal="center" vertical="center" wrapText="1"/>
      <protection locked="0"/>
    </xf>
    <xf numFmtId="4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79" fillId="0" borderId="0" xfId="0" applyFont="1" applyFill="1" applyAlignment="1" applyProtection="1">
      <alignment horizontal="center"/>
      <protection hidden="1"/>
    </xf>
    <xf numFmtId="49" fontId="25" fillId="0" borderId="11" xfId="65" applyNumberFormat="1" applyFont="1" applyBorder="1" applyAlignment="1" applyProtection="1">
      <alignment horizontal="center" vertical="center" wrapText="1"/>
      <protection locked="0"/>
    </xf>
    <xf numFmtId="49" fontId="80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80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80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center"/>
      <protection locked="0"/>
    </xf>
    <xf numFmtId="49" fontId="28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11" xfId="65" applyNumberFormat="1" applyFont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27" fillId="0" borderId="0" xfId="66" applyFont="1" applyFill="1" applyAlignment="1" applyProtection="1">
      <alignment horizontal="center"/>
      <protection locked="0"/>
    </xf>
    <xf numFmtId="0" fontId="81" fillId="24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wrapText="1"/>
      <protection locked="0"/>
    </xf>
    <xf numFmtId="0" fontId="29" fillId="24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9" fontId="27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2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23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17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49" fontId="82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75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75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75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65" applyNumberFormat="1" applyFont="1" applyBorder="1" applyAlignment="1" applyProtection="1">
      <alignment horizontal="center" vertical="center" wrapText="1"/>
      <protection locked="0"/>
    </xf>
    <xf numFmtId="0" fontId="27" fillId="0" borderId="13" xfId="65" applyNumberFormat="1" applyFont="1" applyBorder="1" applyAlignment="1" applyProtection="1">
      <alignment horizontal="center" vertical="center" wrapText="1"/>
      <protection locked="0"/>
    </xf>
    <xf numFmtId="0" fontId="27" fillId="0" borderId="14" xfId="65" applyNumberFormat="1" applyFont="1" applyBorder="1" applyAlignment="1" applyProtection="1">
      <alignment horizontal="center" vertical="center" wrapText="1"/>
      <protection locked="0"/>
    </xf>
    <xf numFmtId="0" fontId="27" fillId="0" borderId="15" xfId="65" applyNumberFormat="1" applyFont="1" applyBorder="1" applyAlignment="1" applyProtection="1">
      <alignment horizontal="center" vertical="center" wrapText="1"/>
      <protection locked="0"/>
    </xf>
    <xf numFmtId="0" fontId="27" fillId="0" borderId="16" xfId="65" applyNumberFormat="1" applyFont="1" applyBorder="1" applyAlignment="1" applyProtection="1">
      <alignment horizontal="center" vertical="center" wrapText="1"/>
      <protection locked="0"/>
    </xf>
    <xf numFmtId="0" fontId="27" fillId="0" borderId="17" xfId="65" applyNumberFormat="1" applyFont="1" applyBorder="1" applyAlignment="1" applyProtection="1">
      <alignment horizontal="center" vertical="center" wrapText="1"/>
      <protection locked="0"/>
    </xf>
    <xf numFmtId="49" fontId="28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6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7" fillId="25" borderId="21" xfId="65" applyFont="1" applyFill="1" applyBorder="1" applyAlignment="1" applyProtection="1">
      <alignment horizontal="center" vertical="center" wrapText="1"/>
      <protection locked="0"/>
    </xf>
    <xf numFmtId="0" fontId="27" fillId="25" borderId="22" xfId="65" applyFont="1" applyFill="1" applyBorder="1" applyAlignment="1" applyProtection="1">
      <alignment horizontal="center" vertical="center" wrapText="1"/>
      <protection locked="0"/>
    </xf>
    <xf numFmtId="49" fontId="28" fillId="0" borderId="21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65" applyNumberFormat="1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57150</xdr:rowOff>
    </xdr:from>
    <xdr:to>
      <xdr:col>7</xdr:col>
      <xdr:colOff>409575</xdr:colOff>
      <xdr:row>5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924050" y="819150"/>
          <a:ext cx="2266950" cy="6191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Phân tích: Năm trước chuyển sang 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 viec; M</a:t>
          </a:r>
          <a:r>
            <a:rPr lang="en-US" cap="none" sz="1100" b="0" i="0" u="none" baseline="0">
              <a:solidFill>
                <a:srgbClr val="000000"/>
              </a:solidFill>
            </a:rPr>
            <a:t>ới thụ lý</a:t>
          </a:r>
          <a:r>
            <a:rPr lang="en-US" cap="none" sz="1100" b="0" i="0" u="none" baseline="0">
              <a:solidFill>
                <a:srgbClr val="000000"/>
              </a:solidFill>
            </a:rPr>
            <a:t> 09</a:t>
          </a:r>
          <a:r>
            <a:rPr lang="en-US" cap="none" sz="1100" b="0" i="0" u="none" baseline="0">
              <a:solidFill>
                <a:srgbClr val="000000"/>
              </a:solidFill>
            </a:rPr>
            <a:t> việc</a:t>
          </a:r>
          <a:r>
            <a:rPr lang="en-US" cap="none" sz="1100" b="0" i="0" u="none" baseline="0">
              <a:solidFill>
                <a:srgbClr val="FFFFFF"/>
              </a:solidFill>
            </a:rPr>
            <a:t>iviec</a:t>
          </a:r>
        </a:p>
      </xdr:txBody>
    </xdr:sp>
    <xdr:clientData/>
  </xdr:twoCellAnchor>
  <xdr:twoCellAnchor>
    <xdr:from>
      <xdr:col>5</xdr:col>
      <xdr:colOff>219075</xdr:colOff>
      <xdr:row>6</xdr:row>
      <xdr:rowOff>9525</xdr:rowOff>
    </xdr:from>
    <xdr:to>
      <xdr:col>6</xdr:col>
      <xdr:colOff>333375</xdr:colOff>
      <xdr:row>12</xdr:row>
      <xdr:rowOff>85725</xdr:rowOff>
    </xdr:to>
    <xdr:sp>
      <xdr:nvSpPr>
        <xdr:cNvPr id="2" name="Straight Arrow Connector 4"/>
        <xdr:cNvSpPr>
          <a:spLocks/>
        </xdr:cNvSpPr>
      </xdr:nvSpPr>
      <xdr:spPr>
        <a:xfrm>
          <a:off x="3209925" y="1485900"/>
          <a:ext cx="485775" cy="1743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0382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</xdr:row>
      <xdr:rowOff>171450</xdr:rowOff>
    </xdr:from>
    <xdr:to>
      <xdr:col>6</xdr:col>
      <xdr:colOff>352425</xdr:colOff>
      <xdr:row>4</xdr:row>
      <xdr:rowOff>123825</xdr:rowOff>
    </xdr:to>
    <xdr:sp>
      <xdr:nvSpPr>
        <xdr:cNvPr id="2" name="Rectangle 1"/>
        <xdr:cNvSpPr>
          <a:spLocks/>
        </xdr:cNvSpPr>
      </xdr:nvSpPr>
      <xdr:spPr>
        <a:xfrm>
          <a:off x="2000250" y="542925"/>
          <a:ext cx="2495550" cy="6191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Phân tích: Năm trước chuyển sang </a:t>
          </a:r>
          <a:r>
            <a:rPr lang="en-US" cap="none" sz="1100" b="0" i="0" u="none" baseline="0">
              <a:solidFill>
                <a:srgbClr val="000000"/>
              </a:solidFill>
            </a:rPr>
            <a:t>232.060.011</a:t>
          </a:r>
          <a:r>
            <a:rPr lang="en-US" cap="none" sz="1100" b="0" i="0" u="none" baseline="0">
              <a:solidFill>
                <a:srgbClr val="000000"/>
              </a:solidFill>
            </a:rPr>
            <a:t>; mới thụ lý </a:t>
          </a:r>
          <a:r>
            <a:rPr lang="en-US" cap="none" sz="1100" b="0" i="0" u="none" baseline="0">
              <a:solidFill>
                <a:srgbClr val="000000"/>
              </a:solidFill>
            </a:rPr>
            <a:t>614.688.898</a:t>
          </a:r>
        </a:p>
      </xdr:txBody>
    </xdr:sp>
    <xdr:clientData/>
  </xdr:twoCellAnchor>
  <xdr:twoCellAnchor>
    <xdr:from>
      <xdr:col>4</xdr:col>
      <xdr:colOff>638175</xdr:colOff>
      <xdr:row>4</xdr:row>
      <xdr:rowOff>142875</xdr:rowOff>
    </xdr:from>
    <xdr:to>
      <xdr:col>6</xdr:col>
      <xdr:colOff>381000</xdr:colOff>
      <xdr:row>11</xdr:row>
      <xdr:rowOff>76200</xdr:rowOff>
    </xdr:to>
    <xdr:sp>
      <xdr:nvSpPr>
        <xdr:cNvPr id="3" name="Straight Arrow Connector 3"/>
        <xdr:cNvSpPr>
          <a:spLocks/>
        </xdr:cNvSpPr>
      </xdr:nvSpPr>
      <xdr:spPr>
        <a:xfrm>
          <a:off x="3448050" y="1181100"/>
          <a:ext cx="1076325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85"/>
  <sheetViews>
    <sheetView showZeros="0" tabSelected="1" zoomScalePageLayoutView="0" workbookViewId="0" topLeftCell="C1">
      <selection activeCell="Y10" sqref="Y1:Y16384"/>
    </sheetView>
  </sheetViews>
  <sheetFormatPr defaultColWidth="8.88671875" defaultRowHeight="15"/>
  <cols>
    <col min="1" max="1" width="3.10546875" style="23" customWidth="1"/>
    <col min="2" max="2" width="13.77734375" style="23" customWidth="1"/>
    <col min="3" max="5" width="5.99609375" style="23" customWidth="1"/>
    <col min="6" max="6" width="4.3359375" style="23" customWidth="1"/>
    <col min="7" max="7" width="4.88671875" style="74" customWidth="1"/>
    <col min="8" max="11" width="5.99609375" style="23" customWidth="1"/>
    <col min="12" max="12" width="5.99609375" style="29" customWidth="1"/>
    <col min="13" max="14" width="5.99609375" style="23" customWidth="1"/>
    <col min="15" max="15" width="4.6640625" style="23" customWidth="1"/>
    <col min="16" max="16" width="4.77734375" style="23" customWidth="1"/>
    <col min="17" max="18" width="5.99609375" style="23" customWidth="1"/>
    <col min="19" max="19" width="5.10546875" style="23" customWidth="1"/>
    <col min="20" max="20" width="8.88671875" style="23" hidden="1" customWidth="1"/>
    <col min="21" max="21" width="4.5546875" style="89" hidden="1" customWidth="1"/>
    <col min="22" max="22" width="4.21484375" style="84" hidden="1" customWidth="1"/>
    <col min="23" max="23" width="3.77734375" style="84" hidden="1" customWidth="1"/>
    <col min="24" max="24" width="3.77734375" style="93" hidden="1" customWidth="1"/>
    <col min="25" max="25" width="0" style="23" hidden="1" customWidth="1"/>
    <col min="26" max="16384" width="8.88671875" style="23" customWidth="1"/>
  </cols>
  <sheetData>
    <row r="1" spans="1:19" ht="26.25" customHeight="1">
      <c r="A1" s="120" t="s">
        <v>0</v>
      </c>
      <c r="B1" s="120"/>
      <c r="C1" s="120"/>
      <c r="D1" s="130" t="s">
        <v>123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21" t="s">
        <v>102</v>
      </c>
      <c r="Q1" s="122"/>
      <c r="R1" s="122"/>
      <c r="S1" s="122"/>
    </row>
    <row r="2" spans="1:19" ht="33.75" customHeight="1">
      <c r="A2" s="123" t="s">
        <v>6</v>
      </c>
      <c r="B2" s="123"/>
      <c r="C2" s="123"/>
      <c r="D2" s="132" t="s">
        <v>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21" t="s">
        <v>103</v>
      </c>
      <c r="Q2" s="144"/>
      <c r="R2" s="144"/>
      <c r="S2" s="144"/>
    </row>
    <row r="3" spans="1:17" ht="16.5" customHeight="1">
      <c r="A3" s="24" t="s">
        <v>2</v>
      </c>
      <c r="B3" s="24"/>
      <c r="C3" s="24"/>
      <c r="D3" s="145" t="s">
        <v>135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2">
      <c r="A4" s="24"/>
      <c r="B4" s="24"/>
      <c r="C4" s="24"/>
      <c r="D4" s="24"/>
      <c r="E4" s="25"/>
      <c r="F4" s="25"/>
      <c r="G4" s="73"/>
      <c r="H4" s="25"/>
      <c r="I4" s="25"/>
      <c r="J4" s="25"/>
      <c r="K4" s="26"/>
      <c r="L4" s="27"/>
      <c r="M4" s="24"/>
      <c r="N4" s="24"/>
      <c r="O4" s="137"/>
      <c r="P4" s="137"/>
      <c r="Q4" s="137"/>
    </row>
    <row r="5" spans="1:19" ht="15" customHeight="1">
      <c r="A5" s="24"/>
      <c r="B5" s="24"/>
      <c r="C5" s="24"/>
      <c r="D5" s="24"/>
      <c r="E5" s="25"/>
      <c r="F5" s="25"/>
      <c r="G5" s="73"/>
      <c r="H5" s="25"/>
      <c r="I5" s="25"/>
      <c r="J5" s="25"/>
      <c r="K5" s="26"/>
      <c r="L5" s="27"/>
      <c r="M5" s="24"/>
      <c r="N5" s="24"/>
      <c r="O5" s="24"/>
      <c r="Q5" s="28"/>
      <c r="S5" s="28" t="s">
        <v>3</v>
      </c>
    </row>
    <row r="6" ht="12.75" customHeight="1"/>
    <row r="7" spans="1:24" ht="15.75" customHeight="1">
      <c r="A7" s="102" t="s">
        <v>7</v>
      </c>
      <c r="B7" s="103"/>
      <c r="C7" s="116" t="s">
        <v>8</v>
      </c>
      <c r="D7" s="117"/>
      <c r="E7" s="118"/>
      <c r="F7" s="112" t="s">
        <v>9</v>
      </c>
      <c r="G7" s="147" t="s">
        <v>10</v>
      </c>
      <c r="H7" s="116" t="s">
        <v>11</v>
      </c>
      <c r="I7" s="117"/>
      <c r="J7" s="117"/>
      <c r="K7" s="117"/>
      <c r="L7" s="117"/>
      <c r="M7" s="117"/>
      <c r="N7" s="117"/>
      <c r="O7" s="117"/>
      <c r="P7" s="117"/>
      <c r="Q7" s="117"/>
      <c r="R7" s="109" t="s">
        <v>12</v>
      </c>
      <c r="S7" s="109" t="s">
        <v>13</v>
      </c>
      <c r="U7" s="141" t="s">
        <v>132</v>
      </c>
      <c r="V7" s="140" t="s">
        <v>128</v>
      </c>
      <c r="W7" s="140"/>
      <c r="X7" s="139" t="s">
        <v>131</v>
      </c>
    </row>
    <row r="8" spans="1:24" ht="19.5" customHeight="1">
      <c r="A8" s="104"/>
      <c r="B8" s="105"/>
      <c r="C8" s="109" t="s">
        <v>14</v>
      </c>
      <c r="D8" s="112" t="s">
        <v>15</v>
      </c>
      <c r="E8" s="113"/>
      <c r="F8" s="119"/>
      <c r="G8" s="148"/>
      <c r="H8" s="109" t="s">
        <v>4</v>
      </c>
      <c r="I8" s="134" t="s">
        <v>16</v>
      </c>
      <c r="J8" s="135"/>
      <c r="K8" s="135"/>
      <c r="L8" s="135"/>
      <c r="M8" s="135"/>
      <c r="N8" s="135"/>
      <c r="O8" s="135"/>
      <c r="P8" s="136"/>
      <c r="Q8" s="112" t="s">
        <v>17</v>
      </c>
      <c r="R8" s="110"/>
      <c r="S8" s="110"/>
      <c r="U8" s="142"/>
      <c r="V8" s="140" t="s">
        <v>126</v>
      </c>
      <c r="W8" s="140" t="s">
        <v>127</v>
      </c>
      <c r="X8" s="139"/>
    </row>
    <row r="9" spans="1:24" ht="18" customHeight="1">
      <c r="A9" s="104"/>
      <c r="B9" s="105"/>
      <c r="C9" s="110"/>
      <c r="D9" s="114"/>
      <c r="E9" s="115"/>
      <c r="F9" s="119"/>
      <c r="G9" s="148"/>
      <c r="H9" s="110"/>
      <c r="I9" s="109" t="s">
        <v>4</v>
      </c>
      <c r="J9" s="134" t="s">
        <v>15</v>
      </c>
      <c r="K9" s="135"/>
      <c r="L9" s="135"/>
      <c r="M9" s="135"/>
      <c r="N9" s="135"/>
      <c r="O9" s="135"/>
      <c r="P9" s="136"/>
      <c r="Q9" s="119"/>
      <c r="R9" s="110"/>
      <c r="S9" s="110"/>
      <c r="U9" s="142"/>
      <c r="V9" s="140"/>
      <c r="W9" s="140"/>
      <c r="X9" s="139"/>
    </row>
    <row r="10" spans="1:24" s="30" customFormat="1" ht="24.75" customHeight="1">
      <c r="A10" s="104"/>
      <c r="B10" s="105"/>
      <c r="C10" s="110"/>
      <c r="D10" s="127" t="s">
        <v>18</v>
      </c>
      <c r="E10" s="109" t="s">
        <v>19</v>
      </c>
      <c r="F10" s="119"/>
      <c r="G10" s="148"/>
      <c r="H10" s="110"/>
      <c r="I10" s="110"/>
      <c r="J10" s="129" t="s">
        <v>20</v>
      </c>
      <c r="K10" s="129" t="s">
        <v>21</v>
      </c>
      <c r="L10" s="138" t="s">
        <v>22</v>
      </c>
      <c r="M10" s="109" t="s">
        <v>23</v>
      </c>
      <c r="N10" s="109" t="s">
        <v>24</v>
      </c>
      <c r="O10" s="109" t="s">
        <v>25</v>
      </c>
      <c r="P10" s="109" t="s">
        <v>26</v>
      </c>
      <c r="Q10" s="119"/>
      <c r="R10" s="110"/>
      <c r="S10" s="110"/>
      <c r="U10" s="142"/>
      <c r="V10" s="140"/>
      <c r="W10" s="140"/>
      <c r="X10" s="139"/>
    </row>
    <row r="11" spans="1:24" ht="39" customHeight="1">
      <c r="A11" s="106"/>
      <c r="B11" s="107"/>
      <c r="C11" s="111"/>
      <c r="D11" s="128"/>
      <c r="E11" s="111"/>
      <c r="F11" s="114"/>
      <c r="G11" s="149"/>
      <c r="H11" s="111"/>
      <c r="I11" s="111"/>
      <c r="J11" s="129"/>
      <c r="K11" s="129"/>
      <c r="L11" s="138"/>
      <c r="M11" s="146"/>
      <c r="N11" s="111"/>
      <c r="O11" s="111"/>
      <c r="P11" s="111"/>
      <c r="Q11" s="114"/>
      <c r="R11" s="111"/>
      <c r="S11" s="111"/>
      <c r="U11" s="143"/>
      <c r="V11" s="140"/>
      <c r="W11" s="140"/>
      <c r="X11" s="139"/>
    </row>
    <row r="12" spans="1:24" ht="14.25" customHeight="1">
      <c r="A12" s="125" t="s">
        <v>27</v>
      </c>
      <c r="B12" s="126"/>
      <c r="C12" s="31">
        <v>1</v>
      </c>
      <c r="D12" s="31">
        <v>2</v>
      </c>
      <c r="E12" s="31">
        <v>3</v>
      </c>
      <c r="F12" s="31">
        <v>4</v>
      </c>
      <c r="G12" s="75">
        <v>5</v>
      </c>
      <c r="H12" s="31">
        <v>6</v>
      </c>
      <c r="I12" s="31">
        <v>7</v>
      </c>
      <c r="J12" s="31">
        <v>8</v>
      </c>
      <c r="K12" s="31">
        <v>9</v>
      </c>
      <c r="L12" s="32">
        <v>10</v>
      </c>
      <c r="M12" s="31">
        <v>11</v>
      </c>
      <c r="N12" s="31">
        <v>12</v>
      </c>
      <c r="O12" s="31">
        <v>13</v>
      </c>
      <c r="P12" s="31">
        <v>14</v>
      </c>
      <c r="Q12" s="31">
        <v>15</v>
      </c>
      <c r="R12" s="31">
        <v>16</v>
      </c>
      <c r="S12" s="31">
        <v>17</v>
      </c>
      <c r="U12" s="90"/>
      <c r="V12" s="85"/>
      <c r="W12" s="85"/>
      <c r="X12" s="94"/>
    </row>
    <row r="13" spans="1:24" ht="28.5" customHeight="1">
      <c r="A13" s="33"/>
      <c r="B13" s="34" t="s">
        <v>33</v>
      </c>
      <c r="C13" s="35">
        <f>C14+C25+C33+C41+C51+C57+C64+C69+C72+C75</f>
        <v>28275</v>
      </c>
      <c r="D13" s="36">
        <f>D14+D25+D33+D41+D51+D57+D64+D69+D72+D75</f>
        <v>8132</v>
      </c>
      <c r="E13" s="35">
        <f>E14+E25+E33+E41+E51+E57+E64+E69+E72+E75</f>
        <v>20143</v>
      </c>
      <c r="F13" s="35">
        <f>F14+F25+F33+F41+F51+F57+F64+F69+F72+F75</f>
        <v>681</v>
      </c>
      <c r="G13" s="76">
        <f>G14+G25+G33+G41+G51+G57+G64+G69+G72+G75</f>
        <v>28</v>
      </c>
      <c r="H13" s="35">
        <f>C13-F13</f>
        <v>27594</v>
      </c>
      <c r="I13" s="35">
        <f aca="true" t="shared" si="0" ref="I13:R13">I14+I25+I33+I41+I51+I57+I64+I69+I72+I75</f>
        <v>25504</v>
      </c>
      <c r="J13" s="35">
        <f t="shared" si="0"/>
        <v>17276</v>
      </c>
      <c r="K13" s="35">
        <f t="shared" si="0"/>
        <v>332</v>
      </c>
      <c r="L13" s="70">
        <f t="shared" si="0"/>
        <v>6915</v>
      </c>
      <c r="M13" s="35">
        <f t="shared" si="0"/>
        <v>608</v>
      </c>
      <c r="N13" s="35">
        <f t="shared" si="0"/>
        <v>26</v>
      </c>
      <c r="O13" s="35">
        <f t="shared" si="0"/>
        <v>0</v>
      </c>
      <c r="P13" s="35">
        <f t="shared" si="0"/>
        <v>347</v>
      </c>
      <c r="Q13" s="35">
        <f t="shared" si="0"/>
        <v>2090</v>
      </c>
      <c r="R13" s="35">
        <f t="shared" si="0"/>
        <v>9986</v>
      </c>
      <c r="S13" s="37">
        <f>IF(ISERROR((J13+K13)/I13*100)=TRUE,0,(J13+K13)/I13*100)</f>
        <v>69.04015056461732</v>
      </c>
      <c r="T13" s="83">
        <f>((J13+K13)*0.7185)/(S13/100)</f>
        <v>18324.624</v>
      </c>
      <c r="U13" s="87">
        <f>T13-(J13+K13)</f>
        <v>716.6239999999998</v>
      </c>
      <c r="V13" s="86">
        <v>-1433</v>
      </c>
      <c r="W13" s="87">
        <f>U13-V13</f>
        <v>2149.624</v>
      </c>
      <c r="X13" s="95">
        <v>71.85</v>
      </c>
    </row>
    <row r="14" spans="1:24" ht="20.25" customHeight="1">
      <c r="A14" s="33" t="s">
        <v>5</v>
      </c>
      <c r="B14" s="38" t="s">
        <v>118</v>
      </c>
      <c r="C14" s="35">
        <f aca="true" t="shared" si="1" ref="C14:K14">SUM(C15:C24)</f>
        <v>644</v>
      </c>
      <c r="D14" s="35">
        <f t="shared" si="1"/>
        <v>307</v>
      </c>
      <c r="E14" s="35">
        <f t="shared" si="1"/>
        <v>337</v>
      </c>
      <c r="F14" s="35">
        <f t="shared" si="1"/>
        <v>29</v>
      </c>
      <c r="G14" s="76">
        <f t="shared" si="1"/>
        <v>0</v>
      </c>
      <c r="H14" s="35">
        <f t="shared" si="1"/>
        <v>615</v>
      </c>
      <c r="I14" s="35">
        <f t="shared" si="1"/>
        <v>565</v>
      </c>
      <c r="J14" s="35">
        <f t="shared" si="1"/>
        <v>210</v>
      </c>
      <c r="K14" s="35">
        <f t="shared" si="1"/>
        <v>14</v>
      </c>
      <c r="L14" s="36">
        <f>H14-J14-K14-SUM(M14:Q14)</f>
        <v>275</v>
      </c>
      <c r="M14" s="35">
        <f>SUM(M15:M24)</f>
        <v>4</v>
      </c>
      <c r="N14" s="35">
        <f>SUM(N15:N24)</f>
        <v>0</v>
      </c>
      <c r="O14" s="35">
        <f>SUM(O15:O24)</f>
        <v>0</v>
      </c>
      <c r="P14" s="35">
        <f>SUM(P15:P24)</f>
        <v>62</v>
      </c>
      <c r="Q14" s="35">
        <f>SUM(Q15:Q24)</f>
        <v>50</v>
      </c>
      <c r="R14" s="39">
        <f>SUM(L14:Q14)</f>
        <v>391</v>
      </c>
      <c r="S14" s="40">
        <f>IF(ISERROR((J14+K14)/I14*100)=TRUE,0,(J14+K14)/I14*100)</f>
        <v>39.64601769911504</v>
      </c>
      <c r="T14" s="69">
        <f>((J14+K14)*0.7225)/(S14/100)</f>
        <v>408.21250000000003</v>
      </c>
      <c r="U14" s="87">
        <f aca="true" t="shared" si="2" ref="U14:U77">T14-(J14+K14)</f>
        <v>184.21250000000003</v>
      </c>
      <c r="V14" s="86">
        <v>61</v>
      </c>
      <c r="W14" s="87">
        <f>U14-V14</f>
        <v>123.21250000000003</v>
      </c>
      <c r="X14" s="95">
        <v>72.25</v>
      </c>
    </row>
    <row r="15" spans="1:25" ht="20.25" customHeight="1">
      <c r="A15" s="41">
        <v>1</v>
      </c>
      <c r="B15" s="42" t="s">
        <v>111</v>
      </c>
      <c r="C15" s="35">
        <f>D15+E15</f>
        <v>73</v>
      </c>
      <c r="D15" s="43">
        <v>48</v>
      </c>
      <c r="E15" s="44">
        <v>25</v>
      </c>
      <c r="F15" s="45">
        <v>3</v>
      </c>
      <c r="G15" s="77"/>
      <c r="H15" s="46">
        <f>I15+Q15</f>
        <v>70</v>
      </c>
      <c r="I15" s="46">
        <f>SUM(J15:P15)</f>
        <v>56</v>
      </c>
      <c r="J15" s="44">
        <v>23</v>
      </c>
      <c r="K15" s="44"/>
      <c r="L15" s="57">
        <f>C15-F15-J15-K15-SUM(M15:Q15)</f>
        <v>22</v>
      </c>
      <c r="M15" s="44">
        <v>2</v>
      </c>
      <c r="N15" s="44"/>
      <c r="O15" s="47"/>
      <c r="P15" s="47">
        <v>9</v>
      </c>
      <c r="Q15" s="44">
        <v>14</v>
      </c>
      <c r="R15" s="58">
        <f aca="true" t="shared" si="3" ref="R15:R23">SUM(L15:Q15)</f>
        <v>47</v>
      </c>
      <c r="S15" s="48">
        <f>IF(ISERROR((J15+K15)/I15*100)=TRUE,0,(J15+K15)/I15*100)</f>
        <v>41.07142857142857</v>
      </c>
      <c r="T15" s="69">
        <f aca="true" t="shared" si="4" ref="T15:T24">((J15+K15)*0.7225)/(S15/100)</f>
        <v>40.46</v>
      </c>
      <c r="U15" s="91">
        <f t="shared" si="2"/>
        <v>17.46</v>
      </c>
      <c r="V15" s="85"/>
      <c r="W15" s="85"/>
      <c r="X15" s="94"/>
      <c r="Y15" s="23">
        <v>0</v>
      </c>
    </row>
    <row r="16" spans="1:24" ht="20.25" customHeight="1">
      <c r="A16" s="41">
        <v>2</v>
      </c>
      <c r="B16" s="42" t="s">
        <v>82</v>
      </c>
      <c r="C16" s="35">
        <f aca="true" t="shared" si="5" ref="C16:C21">D16+E16</f>
        <v>82</v>
      </c>
      <c r="D16" s="43">
        <v>55</v>
      </c>
      <c r="E16" s="44">
        <v>27</v>
      </c>
      <c r="F16" s="45">
        <v>1</v>
      </c>
      <c r="G16" s="77"/>
      <c r="H16" s="46">
        <f aca="true" t="shared" si="6" ref="H16:H79">I16+Q16</f>
        <v>81</v>
      </c>
      <c r="I16" s="46">
        <f aca="true" t="shared" si="7" ref="I16:I21">SUM(J16:P16)</f>
        <v>75</v>
      </c>
      <c r="J16" s="44">
        <v>19</v>
      </c>
      <c r="K16" s="44"/>
      <c r="L16" s="57">
        <f aca="true" t="shared" si="8" ref="L16:L79">C16-F16-J16-K16-SUM(M16:Q16)</f>
        <v>13</v>
      </c>
      <c r="M16" s="44"/>
      <c r="N16" s="44"/>
      <c r="O16" s="47"/>
      <c r="P16" s="47">
        <v>43</v>
      </c>
      <c r="Q16" s="44">
        <v>6</v>
      </c>
      <c r="R16" s="58">
        <f t="shared" si="3"/>
        <v>62</v>
      </c>
      <c r="S16" s="48">
        <f aca="true" t="shared" si="9" ref="S16:S21">IF(ISERROR((J16+K16)/I16*100)=TRUE,0,(J16+K16)/I16*100)</f>
        <v>25.333333333333336</v>
      </c>
      <c r="T16" s="69">
        <f t="shared" si="4"/>
        <v>54.1875</v>
      </c>
      <c r="U16" s="91">
        <f t="shared" si="2"/>
        <v>35.1875</v>
      </c>
      <c r="V16" s="85"/>
      <c r="W16" s="85"/>
      <c r="X16" s="94"/>
    </row>
    <row r="17" spans="1:24" ht="20.25" customHeight="1">
      <c r="A17" s="41">
        <v>3</v>
      </c>
      <c r="B17" s="42" t="s">
        <v>83</v>
      </c>
      <c r="C17" s="35">
        <f t="shared" si="5"/>
        <v>29</v>
      </c>
      <c r="D17" s="43">
        <v>21</v>
      </c>
      <c r="E17" s="44">
        <v>8</v>
      </c>
      <c r="F17" s="45"/>
      <c r="G17" s="77"/>
      <c r="H17" s="46">
        <f t="shared" si="6"/>
        <v>29</v>
      </c>
      <c r="I17" s="46">
        <f t="shared" si="7"/>
        <v>26</v>
      </c>
      <c r="J17" s="44">
        <v>1</v>
      </c>
      <c r="K17" s="44">
        <v>3</v>
      </c>
      <c r="L17" s="57">
        <f t="shared" si="8"/>
        <v>17</v>
      </c>
      <c r="M17" s="44">
        <v>2</v>
      </c>
      <c r="N17" s="44">
        <v>0</v>
      </c>
      <c r="O17" s="47"/>
      <c r="P17" s="47">
        <v>3</v>
      </c>
      <c r="Q17" s="44">
        <v>3</v>
      </c>
      <c r="R17" s="58">
        <f t="shared" si="3"/>
        <v>25</v>
      </c>
      <c r="S17" s="48">
        <f t="shared" si="9"/>
        <v>15.384615384615385</v>
      </c>
      <c r="T17" s="69">
        <f t="shared" si="4"/>
        <v>18.785</v>
      </c>
      <c r="U17" s="91">
        <f t="shared" si="2"/>
        <v>14.785</v>
      </c>
      <c r="V17" s="85"/>
      <c r="W17" s="85"/>
      <c r="X17" s="94"/>
    </row>
    <row r="18" spans="1:24" ht="20.25" customHeight="1">
      <c r="A18" s="41">
        <v>4</v>
      </c>
      <c r="B18" s="42" t="s">
        <v>84</v>
      </c>
      <c r="C18" s="35">
        <f t="shared" si="5"/>
        <v>103</v>
      </c>
      <c r="D18" s="43">
        <v>57</v>
      </c>
      <c r="E18" s="44">
        <v>46</v>
      </c>
      <c r="F18" s="45"/>
      <c r="G18" s="77"/>
      <c r="H18" s="46">
        <f t="shared" si="6"/>
        <v>103</v>
      </c>
      <c r="I18" s="46">
        <f t="shared" si="7"/>
        <v>94</v>
      </c>
      <c r="J18" s="44">
        <v>28</v>
      </c>
      <c r="K18" s="44">
        <v>2</v>
      </c>
      <c r="L18" s="57">
        <f t="shared" si="8"/>
        <v>64</v>
      </c>
      <c r="M18" s="44"/>
      <c r="N18" s="44">
        <v>0</v>
      </c>
      <c r="O18" s="47"/>
      <c r="P18" s="47"/>
      <c r="Q18" s="44">
        <v>9</v>
      </c>
      <c r="R18" s="58">
        <f t="shared" si="3"/>
        <v>73</v>
      </c>
      <c r="S18" s="48">
        <f t="shared" si="9"/>
        <v>31.914893617021278</v>
      </c>
      <c r="T18" s="69">
        <f t="shared" si="4"/>
        <v>67.91499999999999</v>
      </c>
      <c r="U18" s="91">
        <f t="shared" si="2"/>
        <v>37.91499999999999</v>
      </c>
      <c r="V18" s="85"/>
      <c r="W18" s="85"/>
      <c r="X18" s="94"/>
    </row>
    <row r="19" spans="1:25" ht="20.25" customHeight="1">
      <c r="A19" s="41">
        <v>5</v>
      </c>
      <c r="B19" s="42" t="s">
        <v>85</v>
      </c>
      <c r="C19" s="35">
        <f t="shared" si="5"/>
        <v>97</v>
      </c>
      <c r="D19" s="43">
        <v>55</v>
      </c>
      <c r="E19" s="44">
        <v>42</v>
      </c>
      <c r="F19" s="45">
        <v>6</v>
      </c>
      <c r="G19" s="77"/>
      <c r="H19" s="46">
        <f t="shared" si="6"/>
        <v>91</v>
      </c>
      <c r="I19" s="46">
        <f t="shared" si="7"/>
        <v>80</v>
      </c>
      <c r="J19" s="44">
        <v>27</v>
      </c>
      <c r="K19" s="44"/>
      <c r="L19" s="57">
        <f t="shared" si="8"/>
        <v>53</v>
      </c>
      <c r="M19" s="44">
        <v>0</v>
      </c>
      <c r="N19" s="44">
        <v>0</v>
      </c>
      <c r="O19" s="47"/>
      <c r="P19" s="47">
        <v>0</v>
      </c>
      <c r="Q19" s="44">
        <v>11</v>
      </c>
      <c r="R19" s="58">
        <f t="shared" si="3"/>
        <v>64</v>
      </c>
      <c r="S19" s="48">
        <f t="shared" si="9"/>
        <v>33.75</v>
      </c>
      <c r="T19" s="69">
        <f t="shared" si="4"/>
        <v>57.8</v>
      </c>
      <c r="U19" s="91">
        <f t="shared" si="2"/>
        <v>30.799999999999997</v>
      </c>
      <c r="V19" s="85"/>
      <c r="W19" s="85"/>
      <c r="X19" s="94"/>
      <c r="Y19" s="23">
        <v>0</v>
      </c>
    </row>
    <row r="20" spans="1:25" ht="20.25" customHeight="1">
      <c r="A20" s="41">
        <v>6</v>
      </c>
      <c r="B20" s="42" t="s">
        <v>86</v>
      </c>
      <c r="C20" s="35">
        <f t="shared" si="5"/>
        <v>64</v>
      </c>
      <c r="D20" s="43">
        <v>26</v>
      </c>
      <c r="E20" s="44">
        <v>38</v>
      </c>
      <c r="F20" s="45">
        <v>7</v>
      </c>
      <c r="G20" s="77"/>
      <c r="H20" s="46">
        <f t="shared" si="6"/>
        <v>57</v>
      </c>
      <c r="I20" s="46">
        <f t="shared" si="7"/>
        <v>56</v>
      </c>
      <c r="J20" s="44">
        <v>27</v>
      </c>
      <c r="K20" s="44">
        <v>5</v>
      </c>
      <c r="L20" s="57">
        <f t="shared" si="8"/>
        <v>17</v>
      </c>
      <c r="M20" s="44"/>
      <c r="N20" s="44">
        <v>0</v>
      </c>
      <c r="O20" s="47">
        <v>0</v>
      </c>
      <c r="P20" s="47">
        <v>7</v>
      </c>
      <c r="Q20" s="44">
        <v>1</v>
      </c>
      <c r="R20" s="58">
        <f t="shared" si="3"/>
        <v>25</v>
      </c>
      <c r="S20" s="48">
        <f t="shared" si="9"/>
        <v>57.14285714285714</v>
      </c>
      <c r="T20" s="69">
        <f t="shared" si="4"/>
        <v>40.46</v>
      </c>
      <c r="U20" s="91">
        <f t="shared" si="2"/>
        <v>8.46</v>
      </c>
      <c r="V20" s="85"/>
      <c r="W20" s="85"/>
      <c r="X20" s="94"/>
      <c r="Y20" s="23">
        <v>0</v>
      </c>
    </row>
    <row r="21" spans="1:25" ht="20.25" customHeight="1">
      <c r="A21" s="41">
        <v>7</v>
      </c>
      <c r="B21" s="42" t="s">
        <v>87</v>
      </c>
      <c r="C21" s="35">
        <f t="shared" si="5"/>
        <v>86</v>
      </c>
      <c r="D21" s="43">
        <v>34</v>
      </c>
      <c r="E21" s="44">
        <v>52</v>
      </c>
      <c r="F21" s="45">
        <v>5</v>
      </c>
      <c r="G21" s="77"/>
      <c r="H21" s="46">
        <f t="shared" si="6"/>
        <v>81</v>
      </c>
      <c r="I21" s="46">
        <f t="shared" si="7"/>
        <v>78</v>
      </c>
      <c r="J21" s="44">
        <v>36</v>
      </c>
      <c r="K21" s="44"/>
      <c r="L21" s="57">
        <f t="shared" si="8"/>
        <v>42</v>
      </c>
      <c r="M21" s="44"/>
      <c r="N21" s="44"/>
      <c r="O21" s="47"/>
      <c r="P21" s="47">
        <v>0</v>
      </c>
      <c r="Q21" s="44">
        <v>3</v>
      </c>
      <c r="R21" s="58">
        <f t="shared" si="3"/>
        <v>45</v>
      </c>
      <c r="S21" s="48">
        <f t="shared" si="9"/>
        <v>46.15384615384615</v>
      </c>
      <c r="T21" s="69">
        <f t="shared" si="4"/>
        <v>56.355000000000004</v>
      </c>
      <c r="U21" s="91">
        <f t="shared" si="2"/>
        <v>20.355000000000004</v>
      </c>
      <c r="V21" s="85"/>
      <c r="W21" s="85"/>
      <c r="X21" s="94"/>
      <c r="Y21" s="23">
        <v>0</v>
      </c>
    </row>
    <row r="22" spans="1:24" ht="20.25" customHeight="1">
      <c r="A22" s="41">
        <v>8</v>
      </c>
      <c r="B22" s="42" t="s">
        <v>106</v>
      </c>
      <c r="C22" s="35">
        <f>D22+E22</f>
        <v>28</v>
      </c>
      <c r="D22" s="43">
        <v>0</v>
      </c>
      <c r="E22" s="44">
        <v>28</v>
      </c>
      <c r="F22" s="45">
        <v>2</v>
      </c>
      <c r="G22" s="77"/>
      <c r="H22" s="46">
        <f t="shared" si="6"/>
        <v>26</v>
      </c>
      <c r="I22" s="46">
        <f>SUM(J22:P22)</f>
        <v>26</v>
      </c>
      <c r="J22" s="44">
        <v>19</v>
      </c>
      <c r="K22" s="44"/>
      <c r="L22" s="57">
        <f t="shared" si="8"/>
        <v>7</v>
      </c>
      <c r="M22" s="44">
        <v>0</v>
      </c>
      <c r="N22" s="44"/>
      <c r="O22" s="47"/>
      <c r="P22" s="47"/>
      <c r="Q22" s="44">
        <v>0</v>
      </c>
      <c r="R22" s="58">
        <f t="shared" si="3"/>
        <v>7</v>
      </c>
      <c r="S22" s="48">
        <f>IF(ISERROR((J22+K22)/I22*100)=TRUE,0,(J22+K22)/I22*100)</f>
        <v>73.07692307692307</v>
      </c>
      <c r="T22" s="69">
        <f t="shared" si="4"/>
        <v>18.785000000000004</v>
      </c>
      <c r="U22" s="91">
        <f t="shared" si="2"/>
        <v>-0.2149999999999963</v>
      </c>
      <c r="V22" s="85"/>
      <c r="W22" s="85"/>
      <c r="X22" s="94"/>
    </row>
    <row r="23" spans="1:25" ht="20.25" customHeight="1">
      <c r="A23" s="41">
        <v>9</v>
      </c>
      <c r="B23" s="42" t="s">
        <v>88</v>
      </c>
      <c r="C23" s="35">
        <f>D23+E23</f>
        <v>32</v>
      </c>
      <c r="D23" s="43">
        <v>11</v>
      </c>
      <c r="E23" s="44">
        <v>21</v>
      </c>
      <c r="F23" s="45">
        <v>4</v>
      </c>
      <c r="G23" s="77"/>
      <c r="H23" s="46">
        <f t="shared" si="6"/>
        <v>28</v>
      </c>
      <c r="I23" s="46">
        <f>SUM(J23:P23)</f>
        <v>25</v>
      </c>
      <c r="J23" s="44">
        <v>14</v>
      </c>
      <c r="K23" s="44">
        <v>3</v>
      </c>
      <c r="L23" s="57">
        <f t="shared" si="8"/>
        <v>8</v>
      </c>
      <c r="M23" s="44">
        <v>0</v>
      </c>
      <c r="N23" s="44"/>
      <c r="O23" s="47"/>
      <c r="P23" s="47"/>
      <c r="Q23" s="44">
        <v>3</v>
      </c>
      <c r="R23" s="58">
        <f t="shared" si="3"/>
        <v>11</v>
      </c>
      <c r="S23" s="48">
        <f>IF(ISERROR((J23+K23)/I23*100)=TRUE,0,(J23+K23)/I23*100)</f>
        <v>68</v>
      </c>
      <c r="T23" s="69">
        <f t="shared" si="4"/>
        <v>18.0625</v>
      </c>
      <c r="U23" s="91">
        <f t="shared" si="2"/>
        <v>1.0625</v>
      </c>
      <c r="V23" s="85"/>
      <c r="W23" s="85"/>
      <c r="X23" s="94"/>
      <c r="Y23" s="23">
        <v>0</v>
      </c>
    </row>
    <row r="24" spans="1:25" ht="20.25" customHeight="1">
      <c r="A24" s="41">
        <v>10</v>
      </c>
      <c r="B24" s="42" t="s">
        <v>110</v>
      </c>
      <c r="C24" s="35">
        <f>D24+E24</f>
        <v>50</v>
      </c>
      <c r="D24" s="43">
        <v>0</v>
      </c>
      <c r="E24" s="44">
        <v>50</v>
      </c>
      <c r="F24" s="45">
        <v>1</v>
      </c>
      <c r="G24" s="77"/>
      <c r="H24" s="46">
        <f>I24+Q24</f>
        <v>49</v>
      </c>
      <c r="I24" s="46">
        <f>SUM(J24:P24)</f>
        <v>49</v>
      </c>
      <c r="J24" s="44">
        <v>16</v>
      </c>
      <c r="K24" s="44">
        <v>1</v>
      </c>
      <c r="L24" s="57">
        <f>C24-F24-J24-K24-SUM(M24:Q24)</f>
        <v>32</v>
      </c>
      <c r="M24" s="44">
        <v>0</v>
      </c>
      <c r="N24" s="44"/>
      <c r="O24" s="47"/>
      <c r="P24" s="47"/>
      <c r="Q24" s="44">
        <v>0</v>
      </c>
      <c r="R24" s="58">
        <f>SUM(L24:Q24)</f>
        <v>32</v>
      </c>
      <c r="S24" s="48">
        <f>IF(ISERROR((J24+K24)/I24*100)=TRUE,0,(J24+K24)/I24*100)</f>
        <v>34.69387755102041</v>
      </c>
      <c r="T24" s="69">
        <f t="shared" si="4"/>
        <v>35.4025</v>
      </c>
      <c r="U24" s="91">
        <f t="shared" si="2"/>
        <v>18.402500000000003</v>
      </c>
      <c r="V24" s="85"/>
      <c r="W24" s="85"/>
      <c r="X24" s="94"/>
      <c r="Y24" s="23">
        <v>0</v>
      </c>
    </row>
    <row r="25" spans="1:25" ht="30" customHeight="1">
      <c r="A25" s="33" t="s">
        <v>34</v>
      </c>
      <c r="B25" s="38" t="s">
        <v>108</v>
      </c>
      <c r="C25" s="35">
        <f>SUM(C26:C32)</f>
        <v>3726</v>
      </c>
      <c r="D25" s="36">
        <f aca="true" t="shared" si="10" ref="D25:M25">SUM(D26:D32)</f>
        <v>1291</v>
      </c>
      <c r="E25" s="35">
        <f t="shared" si="10"/>
        <v>2435</v>
      </c>
      <c r="F25" s="35">
        <f t="shared" si="10"/>
        <v>61</v>
      </c>
      <c r="G25" s="76">
        <f t="shared" si="10"/>
        <v>14</v>
      </c>
      <c r="H25" s="35">
        <f t="shared" si="10"/>
        <v>3665</v>
      </c>
      <c r="I25" s="35">
        <f t="shared" si="10"/>
        <v>3300</v>
      </c>
      <c r="J25" s="35">
        <f t="shared" si="10"/>
        <v>2158</v>
      </c>
      <c r="K25" s="35">
        <f t="shared" si="10"/>
        <v>57</v>
      </c>
      <c r="L25" s="36">
        <f>H25-J25-K25-SUM(M25:Q25)</f>
        <v>986</v>
      </c>
      <c r="M25" s="35">
        <f t="shared" si="10"/>
        <v>30</v>
      </c>
      <c r="N25" s="35">
        <f>SUM(N26:N32)</f>
        <v>3</v>
      </c>
      <c r="O25" s="35">
        <f>SUM(O26:O32)</f>
        <v>0</v>
      </c>
      <c r="P25" s="35">
        <f>SUM(P26:P32)</f>
        <v>66</v>
      </c>
      <c r="Q25" s="35">
        <f>SUM(Q26:Q32)</f>
        <v>365</v>
      </c>
      <c r="R25" s="36">
        <f>SUM(R26:R32)</f>
        <v>1450</v>
      </c>
      <c r="S25" s="37">
        <f>IF(ISERROR((J25+K25)/I25*100)=TRUE,0,(J25+K25)/I25*100)</f>
        <v>67.12121212121212</v>
      </c>
      <c r="T25" s="69">
        <f>((J25+K25)*0.715)/(S25/100)</f>
        <v>2359.4999999999995</v>
      </c>
      <c r="U25" s="87">
        <f t="shared" si="2"/>
        <v>144.49999999999955</v>
      </c>
      <c r="V25" s="86">
        <v>-169</v>
      </c>
      <c r="W25" s="87">
        <f>U25-V25</f>
        <v>313.49999999999955</v>
      </c>
      <c r="X25" s="95">
        <v>71.5</v>
      </c>
      <c r="Y25" s="23" t="s">
        <v>133</v>
      </c>
    </row>
    <row r="26" spans="1:24" ht="20.25" customHeight="1">
      <c r="A26" s="41">
        <v>11</v>
      </c>
      <c r="B26" s="42" t="s">
        <v>89</v>
      </c>
      <c r="C26" s="35">
        <f>D26+E26</f>
        <v>388</v>
      </c>
      <c r="D26" s="43">
        <v>87</v>
      </c>
      <c r="E26" s="44">
        <v>301</v>
      </c>
      <c r="F26" s="45">
        <v>20</v>
      </c>
      <c r="G26" s="77">
        <v>0</v>
      </c>
      <c r="H26" s="46">
        <f t="shared" si="6"/>
        <v>368</v>
      </c>
      <c r="I26" s="46">
        <f>SUM(J26:P26)</f>
        <v>344</v>
      </c>
      <c r="J26" s="44">
        <v>275</v>
      </c>
      <c r="K26" s="44">
        <v>1</v>
      </c>
      <c r="L26" s="57">
        <f t="shared" si="8"/>
        <v>35</v>
      </c>
      <c r="M26" s="44">
        <v>1</v>
      </c>
      <c r="N26" s="44">
        <v>0</v>
      </c>
      <c r="O26" s="47">
        <v>0</v>
      </c>
      <c r="P26" s="47">
        <v>32</v>
      </c>
      <c r="Q26" s="44">
        <v>24</v>
      </c>
      <c r="R26" s="58">
        <f>SUM(L26:Q26)</f>
        <v>92</v>
      </c>
      <c r="S26" s="48">
        <f>IF(ISERROR((J26+K26)/I26*100)=TRUE,0,(J26+K26)/I26*100)</f>
        <v>80.23255813953489</v>
      </c>
      <c r="T26" s="69">
        <f aca="true" t="shared" si="11" ref="T26:T32">((J26+K26)*0.715)/(S26/100)</f>
        <v>245.95999999999998</v>
      </c>
      <c r="U26" s="91">
        <f t="shared" si="2"/>
        <v>-30.04000000000002</v>
      </c>
      <c r="V26" s="85"/>
      <c r="W26" s="85"/>
      <c r="X26" s="94"/>
    </row>
    <row r="27" spans="1:24" ht="20.25" customHeight="1">
      <c r="A27" s="41">
        <v>12</v>
      </c>
      <c r="B27" s="42" t="s">
        <v>112</v>
      </c>
      <c r="C27" s="35">
        <f aca="true" t="shared" si="12" ref="C27:C32">D27+E27</f>
        <v>545</v>
      </c>
      <c r="D27" s="43">
        <v>213</v>
      </c>
      <c r="E27" s="44">
        <v>332</v>
      </c>
      <c r="F27" s="45">
        <v>5</v>
      </c>
      <c r="G27" s="77">
        <v>6</v>
      </c>
      <c r="H27" s="46">
        <f t="shared" si="6"/>
        <v>540</v>
      </c>
      <c r="I27" s="46">
        <f aca="true" t="shared" si="13" ref="I27:I32">SUM(J27:P27)</f>
        <v>477</v>
      </c>
      <c r="J27" s="44">
        <v>286</v>
      </c>
      <c r="K27" s="44">
        <v>6</v>
      </c>
      <c r="L27" s="57">
        <f t="shared" si="8"/>
        <v>181</v>
      </c>
      <c r="M27" s="44">
        <v>1</v>
      </c>
      <c r="N27" s="44">
        <v>3</v>
      </c>
      <c r="O27" s="47">
        <v>0</v>
      </c>
      <c r="P27" s="47">
        <v>0</v>
      </c>
      <c r="Q27" s="44">
        <v>63</v>
      </c>
      <c r="R27" s="58">
        <f aca="true" t="shared" si="14" ref="R27:R32">SUM(L27:Q27)</f>
        <v>248</v>
      </c>
      <c r="S27" s="48">
        <f aca="true" t="shared" si="15" ref="S27:S32">IF(ISERROR((J27+K27)/I27*100)=TRUE,0,(J27+K27)/I27*100)</f>
        <v>61.21593291404612</v>
      </c>
      <c r="T27" s="69">
        <f t="shared" si="11"/>
        <v>341.055</v>
      </c>
      <c r="U27" s="91">
        <f t="shared" si="2"/>
        <v>49.05500000000001</v>
      </c>
      <c r="V27" s="85"/>
      <c r="W27" s="85"/>
      <c r="X27" s="94"/>
    </row>
    <row r="28" spans="1:24" ht="20.25" customHeight="1">
      <c r="A28" s="41">
        <v>13</v>
      </c>
      <c r="B28" s="42" t="s">
        <v>90</v>
      </c>
      <c r="C28" s="35">
        <f t="shared" si="12"/>
        <v>714</v>
      </c>
      <c r="D28" s="43">
        <v>318</v>
      </c>
      <c r="E28" s="44">
        <v>396</v>
      </c>
      <c r="F28" s="45">
        <v>5</v>
      </c>
      <c r="G28" s="77">
        <v>6</v>
      </c>
      <c r="H28" s="46">
        <f t="shared" si="6"/>
        <v>709</v>
      </c>
      <c r="I28" s="46">
        <f t="shared" si="13"/>
        <v>625</v>
      </c>
      <c r="J28" s="44">
        <v>350</v>
      </c>
      <c r="K28" s="44">
        <v>19</v>
      </c>
      <c r="L28" s="57">
        <f t="shared" si="8"/>
        <v>240</v>
      </c>
      <c r="M28" s="44">
        <v>14</v>
      </c>
      <c r="N28" s="44">
        <v>0</v>
      </c>
      <c r="O28" s="47">
        <v>0</v>
      </c>
      <c r="P28" s="47">
        <v>2</v>
      </c>
      <c r="Q28" s="44">
        <v>84</v>
      </c>
      <c r="R28" s="58">
        <f t="shared" si="14"/>
        <v>340</v>
      </c>
      <c r="S28" s="48">
        <f t="shared" si="15"/>
        <v>59.040000000000006</v>
      </c>
      <c r="T28" s="69">
        <f t="shared" si="11"/>
        <v>446.87499999999994</v>
      </c>
      <c r="U28" s="91">
        <f t="shared" si="2"/>
        <v>77.87499999999994</v>
      </c>
      <c r="V28" s="85"/>
      <c r="W28" s="85"/>
      <c r="X28" s="94"/>
    </row>
    <row r="29" spans="1:24" ht="20.25" customHeight="1">
      <c r="A29" s="41">
        <v>14</v>
      </c>
      <c r="B29" s="42" t="s">
        <v>91</v>
      </c>
      <c r="C29" s="35">
        <f t="shared" si="12"/>
        <v>252</v>
      </c>
      <c r="D29" s="43">
        <v>74</v>
      </c>
      <c r="E29" s="44">
        <v>178</v>
      </c>
      <c r="F29" s="45">
        <v>4</v>
      </c>
      <c r="G29" s="77">
        <v>0</v>
      </c>
      <c r="H29" s="46">
        <f t="shared" si="6"/>
        <v>248</v>
      </c>
      <c r="I29" s="46">
        <f t="shared" si="13"/>
        <v>207</v>
      </c>
      <c r="J29" s="44">
        <v>193</v>
      </c>
      <c r="K29" s="44">
        <v>14</v>
      </c>
      <c r="L29" s="57">
        <f t="shared" si="8"/>
        <v>0</v>
      </c>
      <c r="M29" s="44">
        <v>0</v>
      </c>
      <c r="N29" s="44">
        <v>0</v>
      </c>
      <c r="O29" s="47">
        <v>0</v>
      </c>
      <c r="P29" s="47">
        <v>0</v>
      </c>
      <c r="Q29" s="44">
        <v>41</v>
      </c>
      <c r="R29" s="58">
        <f t="shared" si="14"/>
        <v>41</v>
      </c>
      <c r="S29" s="48">
        <f t="shared" si="15"/>
        <v>100</v>
      </c>
      <c r="T29" s="69">
        <f t="shared" si="11"/>
        <v>148.005</v>
      </c>
      <c r="U29" s="91">
        <f t="shared" si="2"/>
        <v>-58.995000000000005</v>
      </c>
      <c r="V29" s="85"/>
      <c r="W29" s="85"/>
      <c r="X29" s="94"/>
    </row>
    <row r="30" spans="1:24" ht="20.25" customHeight="1">
      <c r="A30" s="41">
        <v>15</v>
      </c>
      <c r="B30" s="42" t="s">
        <v>113</v>
      </c>
      <c r="C30" s="35">
        <f t="shared" si="12"/>
        <v>649</v>
      </c>
      <c r="D30" s="43">
        <v>230</v>
      </c>
      <c r="E30" s="44">
        <v>419</v>
      </c>
      <c r="F30" s="45">
        <v>10</v>
      </c>
      <c r="G30" s="77">
        <v>2</v>
      </c>
      <c r="H30" s="46">
        <f t="shared" si="6"/>
        <v>639</v>
      </c>
      <c r="I30" s="46">
        <f t="shared" si="13"/>
        <v>582</v>
      </c>
      <c r="J30" s="44">
        <v>356</v>
      </c>
      <c r="K30" s="44">
        <v>3</v>
      </c>
      <c r="L30" s="57">
        <f t="shared" si="8"/>
        <v>193</v>
      </c>
      <c r="M30" s="44">
        <v>5</v>
      </c>
      <c r="N30" s="44">
        <v>0</v>
      </c>
      <c r="O30" s="47">
        <v>0</v>
      </c>
      <c r="P30" s="47">
        <v>25</v>
      </c>
      <c r="Q30" s="44">
        <v>57</v>
      </c>
      <c r="R30" s="58">
        <f t="shared" si="14"/>
        <v>280</v>
      </c>
      <c r="S30" s="48">
        <f t="shared" si="15"/>
        <v>61.68384879725086</v>
      </c>
      <c r="T30" s="69">
        <f t="shared" si="11"/>
        <v>416.13</v>
      </c>
      <c r="U30" s="91">
        <f t="shared" si="2"/>
        <v>57.129999999999995</v>
      </c>
      <c r="V30" s="85"/>
      <c r="W30" s="85"/>
      <c r="X30" s="94"/>
    </row>
    <row r="31" spans="1:24" ht="20.25" customHeight="1">
      <c r="A31" s="41">
        <v>16</v>
      </c>
      <c r="B31" s="42" t="s">
        <v>92</v>
      </c>
      <c r="C31" s="35">
        <f t="shared" si="12"/>
        <v>605</v>
      </c>
      <c r="D31" s="43">
        <v>200</v>
      </c>
      <c r="E31" s="44">
        <v>405</v>
      </c>
      <c r="F31" s="45">
        <v>9</v>
      </c>
      <c r="G31" s="77">
        <v>0</v>
      </c>
      <c r="H31" s="46">
        <f t="shared" si="6"/>
        <v>596</v>
      </c>
      <c r="I31" s="46">
        <f t="shared" si="13"/>
        <v>536</v>
      </c>
      <c r="J31" s="44">
        <v>363</v>
      </c>
      <c r="K31" s="44">
        <v>8</v>
      </c>
      <c r="L31" s="57">
        <f t="shared" si="8"/>
        <v>157</v>
      </c>
      <c r="M31" s="44">
        <v>4</v>
      </c>
      <c r="N31" s="44">
        <v>0</v>
      </c>
      <c r="O31" s="47">
        <v>0</v>
      </c>
      <c r="P31" s="47">
        <v>4</v>
      </c>
      <c r="Q31" s="44">
        <v>60</v>
      </c>
      <c r="R31" s="58">
        <f t="shared" si="14"/>
        <v>225</v>
      </c>
      <c r="S31" s="48">
        <f t="shared" si="15"/>
        <v>69.21641791044776</v>
      </c>
      <c r="T31" s="69">
        <f t="shared" si="11"/>
        <v>383.24</v>
      </c>
      <c r="U31" s="91">
        <f t="shared" si="2"/>
        <v>12.240000000000009</v>
      </c>
      <c r="V31" s="85"/>
      <c r="W31" s="85"/>
      <c r="X31" s="94"/>
    </row>
    <row r="32" spans="1:24" ht="33" customHeight="1">
      <c r="A32" s="41">
        <v>17</v>
      </c>
      <c r="B32" s="42" t="s">
        <v>93</v>
      </c>
      <c r="C32" s="35">
        <f t="shared" si="12"/>
        <v>573</v>
      </c>
      <c r="D32" s="43">
        <v>169</v>
      </c>
      <c r="E32" s="44">
        <v>404</v>
      </c>
      <c r="F32" s="45">
        <v>8</v>
      </c>
      <c r="G32" s="77">
        <v>0</v>
      </c>
      <c r="H32" s="46">
        <f t="shared" si="6"/>
        <v>565</v>
      </c>
      <c r="I32" s="46">
        <f t="shared" si="13"/>
        <v>529</v>
      </c>
      <c r="J32" s="44">
        <v>335</v>
      </c>
      <c r="K32" s="44">
        <v>6</v>
      </c>
      <c r="L32" s="57">
        <f t="shared" si="8"/>
        <v>180</v>
      </c>
      <c r="M32" s="44">
        <v>5</v>
      </c>
      <c r="N32" s="44">
        <v>0</v>
      </c>
      <c r="O32" s="47">
        <v>0</v>
      </c>
      <c r="P32" s="47">
        <v>3</v>
      </c>
      <c r="Q32" s="44">
        <v>36</v>
      </c>
      <c r="R32" s="58">
        <f t="shared" si="14"/>
        <v>224</v>
      </c>
      <c r="S32" s="48">
        <f t="shared" si="15"/>
        <v>64.46124763705104</v>
      </c>
      <c r="T32" s="69">
        <f t="shared" si="11"/>
        <v>378.23499999999996</v>
      </c>
      <c r="U32" s="91">
        <f t="shared" si="2"/>
        <v>37.23499999999996</v>
      </c>
      <c r="V32" s="85"/>
      <c r="W32" s="85"/>
      <c r="X32" s="94"/>
    </row>
    <row r="33" spans="1:25" ht="25.5" customHeight="1">
      <c r="A33" s="33" t="s">
        <v>35</v>
      </c>
      <c r="B33" s="38" t="s">
        <v>36</v>
      </c>
      <c r="C33" s="35">
        <f aca="true" t="shared" si="16" ref="C33:K33">SUM(C34:C40)</f>
        <v>4596</v>
      </c>
      <c r="D33" s="36">
        <f t="shared" si="16"/>
        <v>961</v>
      </c>
      <c r="E33" s="35">
        <f t="shared" si="16"/>
        <v>3635</v>
      </c>
      <c r="F33" s="35">
        <f t="shared" si="16"/>
        <v>157</v>
      </c>
      <c r="G33" s="76">
        <f t="shared" si="16"/>
        <v>1</v>
      </c>
      <c r="H33" s="35">
        <f t="shared" si="16"/>
        <v>4439</v>
      </c>
      <c r="I33" s="35">
        <f t="shared" si="16"/>
        <v>4072</v>
      </c>
      <c r="J33" s="35">
        <f t="shared" si="16"/>
        <v>2993</v>
      </c>
      <c r="K33" s="35">
        <f t="shared" si="16"/>
        <v>26</v>
      </c>
      <c r="L33" s="36">
        <f>H33-J33-K33-SUM(M33:Q33)</f>
        <v>817</v>
      </c>
      <c r="M33" s="35">
        <f>SUM(M34:M40)</f>
        <v>215</v>
      </c>
      <c r="N33" s="35">
        <f>SUM(N34:N40)</f>
        <v>2</v>
      </c>
      <c r="O33" s="35">
        <f>SUM(O34:O40)</f>
        <v>0</v>
      </c>
      <c r="P33" s="35">
        <f>SUM(P34:P40)</f>
        <v>19</v>
      </c>
      <c r="Q33" s="35">
        <f>SUM(Q34:Q40)</f>
        <v>367</v>
      </c>
      <c r="R33" s="39">
        <f aca="true" t="shared" si="17" ref="R33:R50">SUM(L33:Q33)</f>
        <v>1420</v>
      </c>
      <c r="S33" s="40">
        <f aca="true" t="shared" si="18" ref="S33:S41">IF(ISERROR((J33+K33)/I33*100)=TRUE,0,(J33+K33)/I33*100)</f>
        <v>74.14047151277013</v>
      </c>
      <c r="T33" s="69">
        <f>((J33+K33)*0.715)/(S33/100)</f>
        <v>2911.48</v>
      </c>
      <c r="U33" s="87">
        <f t="shared" si="2"/>
        <v>-107.51999999999998</v>
      </c>
      <c r="V33" s="86">
        <v>-332</v>
      </c>
      <c r="W33" s="87">
        <f>U33-V33</f>
        <v>224.48000000000002</v>
      </c>
      <c r="X33" s="95">
        <v>71.5</v>
      </c>
      <c r="Y33" s="23" t="s">
        <v>133</v>
      </c>
    </row>
    <row r="34" spans="1:24" ht="20.25" customHeight="1">
      <c r="A34" s="41">
        <v>18</v>
      </c>
      <c r="B34" s="42" t="s">
        <v>39</v>
      </c>
      <c r="C34" s="35">
        <f aca="true" t="shared" si="19" ref="C34:C39">D34+E34</f>
        <v>341</v>
      </c>
      <c r="D34" s="43">
        <v>55</v>
      </c>
      <c r="E34" s="44">
        <v>286</v>
      </c>
      <c r="F34" s="44">
        <v>1</v>
      </c>
      <c r="G34" s="78"/>
      <c r="H34" s="46">
        <f t="shared" si="6"/>
        <v>340</v>
      </c>
      <c r="I34" s="46">
        <f aca="true" t="shared" si="20" ref="I34:I39">SUM(J34:P34)</f>
        <v>322</v>
      </c>
      <c r="J34" s="45">
        <v>266</v>
      </c>
      <c r="K34" s="45">
        <v>4</v>
      </c>
      <c r="L34" s="57">
        <f t="shared" si="8"/>
        <v>49</v>
      </c>
      <c r="M34" s="45">
        <v>3</v>
      </c>
      <c r="N34" s="45"/>
      <c r="O34" s="49"/>
      <c r="P34" s="49">
        <v>0</v>
      </c>
      <c r="Q34" s="45">
        <v>18</v>
      </c>
      <c r="R34" s="58">
        <f t="shared" si="17"/>
        <v>70</v>
      </c>
      <c r="S34" s="48">
        <f t="shared" si="18"/>
        <v>83.85093167701864</v>
      </c>
      <c r="T34" s="69">
        <f aca="true" t="shared" si="21" ref="T34:T40">((J34+K34)*0.715)/(S34/100)</f>
        <v>230.22999999999996</v>
      </c>
      <c r="U34" s="91">
        <f t="shared" si="2"/>
        <v>-39.77000000000004</v>
      </c>
      <c r="V34" s="85"/>
      <c r="W34" s="85"/>
      <c r="X34" s="94"/>
    </row>
    <row r="35" spans="1:24" ht="20.25" customHeight="1">
      <c r="A35" s="41">
        <v>19</v>
      </c>
      <c r="B35" s="42" t="s">
        <v>40</v>
      </c>
      <c r="C35" s="35">
        <f t="shared" si="19"/>
        <v>898</v>
      </c>
      <c r="D35" s="43">
        <v>117</v>
      </c>
      <c r="E35" s="44">
        <v>781</v>
      </c>
      <c r="F35" s="44">
        <v>48</v>
      </c>
      <c r="G35" s="78">
        <v>1</v>
      </c>
      <c r="H35" s="46">
        <f t="shared" si="6"/>
        <v>850</v>
      </c>
      <c r="I35" s="46">
        <f t="shared" si="20"/>
        <v>798</v>
      </c>
      <c r="J35" s="45">
        <v>666</v>
      </c>
      <c r="K35" s="45">
        <v>3</v>
      </c>
      <c r="L35" s="57">
        <f t="shared" si="8"/>
        <v>124</v>
      </c>
      <c r="M35" s="45">
        <v>2</v>
      </c>
      <c r="N35" s="45">
        <v>0</v>
      </c>
      <c r="O35" s="49"/>
      <c r="P35" s="49">
        <v>3</v>
      </c>
      <c r="Q35" s="45">
        <v>52</v>
      </c>
      <c r="R35" s="58">
        <f t="shared" si="17"/>
        <v>181</v>
      </c>
      <c r="S35" s="48">
        <f t="shared" si="18"/>
        <v>83.83458646616542</v>
      </c>
      <c r="T35" s="69">
        <f t="shared" si="21"/>
        <v>570.5699999999999</v>
      </c>
      <c r="U35" s="91">
        <f t="shared" si="2"/>
        <v>-98.43000000000006</v>
      </c>
      <c r="V35" s="85"/>
      <c r="W35" s="85"/>
      <c r="X35" s="94"/>
    </row>
    <row r="36" spans="1:24" ht="20.25" customHeight="1">
      <c r="A36" s="41">
        <v>20</v>
      </c>
      <c r="B36" s="42" t="s">
        <v>41</v>
      </c>
      <c r="C36" s="35">
        <f t="shared" si="19"/>
        <v>834</v>
      </c>
      <c r="D36" s="43">
        <v>206</v>
      </c>
      <c r="E36" s="44">
        <v>628</v>
      </c>
      <c r="F36" s="44">
        <v>49</v>
      </c>
      <c r="G36" s="78"/>
      <c r="H36" s="46">
        <f t="shared" si="6"/>
        <v>785</v>
      </c>
      <c r="I36" s="46">
        <f t="shared" si="20"/>
        <v>763</v>
      </c>
      <c r="J36" s="45">
        <v>474</v>
      </c>
      <c r="K36" s="45">
        <v>5</v>
      </c>
      <c r="L36" s="57">
        <f t="shared" si="8"/>
        <v>249</v>
      </c>
      <c r="M36" s="45">
        <v>19</v>
      </c>
      <c r="N36" s="45">
        <v>0</v>
      </c>
      <c r="O36" s="49"/>
      <c r="P36" s="49">
        <v>16</v>
      </c>
      <c r="Q36" s="45">
        <v>22</v>
      </c>
      <c r="R36" s="58">
        <f t="shared" si="17"/>
        <v>306</v>
      </c>
      <c r="S36" s="48">
        <f t="shared" si="18"/>
        <v>62.77850589777195</v>
      </c>
      <c r="T36" s="69">
        <f t="shared" si="21"/>
        <v>545.545</v>
      </c>
      <c r="U36" s="91">
        <f t="shared" si="2"/>
        <v>66.54499999999996</v>
      </c>
      <c r="V36" s="85"/>
      <c r="W36" s="85"/>
      <c r="X36" s="94"/>
    </row>
    <row r="37" spans="1:24" ht="20.25" customHeight="1">
      <c r="A37" s="41">
        <v>21</v>
      </c>
      <c r="B37" s="42" t="s">
        <v>42</v>
      </c>
      <c r="C37" s="35">
        <f t="shared" si="19"/>
        <v>851</v>
      </c>
      <c r="D37" s="43">
        <v>189</v>
      </c>
      <c r="E37" s="44">
        <v>662</v>
      </c>
      <c r="F37" s="44">
        <v>29</v>
      </c>
      <c r="G37" s="78"/>
      <c r="H37" s="46">
        <f t="shared" si="6"/>
        <v>822</v>
      </c>
      <c r="I37" s="46">
        <f t="shared" si="20"/>
        <v>755</v>
      </c>
      <c r="J37" s="45">
        <v>568</v>
      </c>
      <c r="K37" s="45">
        <v>5</v>
      </c>
      <c r="L37" s="57">
        <f t="shared" si="8"/>
        <v>182</v>
      </c>
      <c r="M37" s="45">
        <v>0</v>
      </c>
      <c r="N37" s="45"/>
      <c r="O37" s="49"/>
      <c r="P37" s="49"/>
      <c r="Q37" s="45">
        <v>67</v>
      </c>
      <c r="R37" s="58">
        <f t="shared" si="17"/>
        <v>249</v>
      </c>
      <c r="S37" s="48">
        <f t="shared" si="18"/>
        <v>75.89403973509934</v>
      </c>
      <c r="T37" s="69">
        <f t="shared" si="21"/>
        <v>539.8249999999999</v>
      </c>
      <c r="U37" s="91">
        <f t="shared" si="2"/>
        <v>-33.17500000000007</v>
      </c>
      <c r="V37" s="85"/>
      <c r="W37" s="85"/>
      <c r="X37" s="94"/>
    </row>
    <row r="38" spans="1:24" ht="20.25" customHeight="1">
      <c r="A38" s="41">
        <v>22</v>
      </c>
      <c r="B38" s="42" t="s">
        <v>43</v>
      </c>
      <c r="C38" s="35">
        <f t="shared" si="19"/>
        <v>747</v>
      </c>
      <c r="D38" s="43">
        <v>172</v>
      </c>
      <c r="E38" s="44">
        <v>575</v>
      </c>
      <c r="F38" s="44">
        <v>10</v>
      </c>
      <c r="G38" s="78"/>
      <c r="H38" s="46">
        <f t="shared" si="6"/>
        <v>737</v>
      </c>
      <c r="I38" s="46">
        <f t="shared" si="20"/>
        <v>650</v>
      </c>
      <c r="J38" s="45">
        <v>460</v>
      </c>
      <c r="K38" s="45">
        <v>4</v>
      </c>
      <c r="L38" s="57">
        <f t="shared" si="8"/>
        <v>0</v>
      </c>
      <c r="M38" s="45">
        <v>184</v>
      </c>
      <c r="N38" s="45">
        <v>2</v>
      </c>
      <c r="O38" s="49"/>
      <c r="P38" s="49"/>
      <c r="Q38" s="45">
        <v>87</v>
      </c>
      <c r="R38" s="58">
        <f t="shared" si="17"/>
        <v>273</v>
      </c>
      <c r="S38" s="48">
        <f t="shared" si="18"/>
        <v>71.38461538461539</v>
      </c>
      <c r="T38" s="69">
        <f t="shared" si="21"/>
        <v>464.74999999999994</v>
      </c>
      <c r="U38" s="91">
        <f t="shared" si="2"/>
        <v>0.7499999999999432</v>
      </c>
      <c r="V38" s="85"/>
      <c r="W38" s="85"/>
      <c r="X38" s="94"/>
    </row>
    <row r="39" spans="1:24" ht="20.25" customHeight="1">
      <c r="A39" s="41">
        <v>23</v>
      </c>
      <c r="B39" s="42" t="s">
        <v>44</v>
      </c>
      <c r="C39" s="35">
        <f t="shared" si="19"/>
        <v>566</v>
      </c>
      <c r="D39" s="43">
        <v>127</v>
      </c>
      <c r="E39" s="44">
        <v>439</v>
      </c>
      <c r="F39" s="44">
        <v>15</v>
      </c>
      <c r="G39" s="78"/>
      <c r="H39" s="46">
        <f t="shared" si="6"/>
        <v>551</v>
      </c>
      <c r="I39" s="46">
        <f t="shared" si="20"/>
        <v>490</v>
      </c>
      <c r="J39" s="45">
        <v>390</v>
      </c>
      <c r="K39" s="45">
        <v>3</v>
      </c>
      <c r="L39" s="57">
        <f t="shared" si="8"/>
        <v>95</v>
      </c>
      <c r="M39" s="45">
        <v>2</v>
      </c>
      <c r="N39" s="45"/>
      <c r="O39" s="49"/>
      <c r="P39" s="49"/>
      <c r="Q39" s="45">
        <v>61</v>
      </c>
      <c r="R39" s="58">
        <f t="shared" si="17"/>
        <v>158</v>
      </c>
      <c r="S39" s="48">
        <f t="shared" si="18"/>
        <v>80.20408163265306</v>
      </c>
      <c r="T39" s="69">
        <f t="shared" si="21"/>
        <v>350.35</v>
      </c>
      <c r="U39" s="91">
        <f t="shared" si="2"/>
        <v>-42.64999999999998</v>
      </c>
      <c r="V39" s="85"/>
      <c r="W39" s="85"/>
      <c r="X39" s="94"/>
    </row>
    <row r="40" spans="1:24" ht="20.25" customHeight="1">
      <c r="A40" s="41">
        <v>24</v>
      </c>
      <c r="B40" s="42" t="s">
        <v>119</v>
      </c>
      <c r="C40" s="35">
        <f>D40+E40</f>
        <v>359</v>
      </c>
      <c r="D40" s="43">
        <v>95</v>
      </c>
      <c r="E40" s="44">
        <v>264</v>
      </c>
      <c r="F40" s="44">
        <v>5</v>
      </c>
      <c r="G40" s="78"/>
      <c r="H40" s="46">
        <f>I40+Q40</f>
        <v>354</v>
      </c>
      <c r="I40" s="46">
        <f>SUM(J40:P40)</f>
        <v>294</v>
      </c>
      <c r="J40" s="45">
        <v>169</v>
      </c>
      <c r="K40" s="45">
        <v>2</v>
      </c>
      <c r="L40" s="57">
        <f>C40-F40-J40-K40-SUM(M40:Q40)</f>
        <v>118</v>
      </c>
      <c r="M40" s="45">
        <v>5</v>
      </c>
      <c r="N40" s="45"/>
      <c r="O40" s="49"/>
      <c r="P40" s="49"/>
      <c r="Q40" s="45">
        <v>60</v>
      </c>
      <c r="R40" s="58">
        <f>SUM(L40:Q40)</f>
        <v>183</v>
      </c>
      <c r="S40" s="48">
        <f>IF(ISERROR((J40+K40)/I40*100)=TRUE,0,(J40+K40)/I40*100)</f>
        <v>58.16326530612245</v>
      </c>
      <c r="T40" s="69">
        <f t="shared" si="21"/>
        <v>210.21</v>
      </c>
      <c r="U40" s="91">
        <f t="shared" si="2"/>
        <v>39.21000000000001</v>
      </c>
      <c r="V40" s="85"/>
      <c r="W40" s="85"/>
      <c r="X40" s="94"/>
    </row>
    <row r="41" spans="1:25" ht="30.75" customHeight="1">
      <c r="A41" s="33" t="s">
        <v>37</v>
      </c>
      <c r="B41" s="38" t="s">
        <v>38</v>
      </c>
      <c r="C41" s="35">
        <f>SUM(C42:C50)</f>
        <v>4406</v>
      </c>
      <c r="D41" s="36">
        <f aca="true" t="shared" si="22" ref="D41:M41">SUM(D42:D50)</f>
        <v>1349</v>
      </c>
      <c r="E41" s="35">
        <f t="shared" si="22"/>
        <v>3057</v>
      </c>
      <c r="F41" s="35">
        <f t="shared" si="22"/>
        <v>55</v>
      </c>
      <c r="G41" s="76">
        <f t="shared" si="22"/>
        <v>1</v>
      </c>
      <c r="H41" s="35">
        <f t="shared" si="22"/>
        <v>4351</v>
      </c>
      <c r="I41" s="35">
        <f t="shared" si="22"/>
        <v>4004</v>
      </c>
      <c r="J41" s="35">
        <f t="shared" si="22"/>
        <v>2964</v>
      </c>
      <c r="K41" s="35">
        <f t="shared" si="22"/>
        <v>31</v>
      </c>
      <c r="L41" s="36">
        <f>H41-J41-K41-SUM(M41:Q41)</f>
        <v>831</v>
      </c>
      <c r="M41" s="35">
        <f t="shared" si="22"/>
        <v>43</v>
      </c>
      <c r="N41" s="35">
        <f>SUM(N42:N50)</f>
        <v>5</v>
      </c>
      <c r="O41" s="35">
        <f>SUM(O42:O50)</f>
        <v>0</v>
      </c>
      <c r="P41" s="35">
        <f>SUM(P42:P50)</f>
        <v>130</v>
      </c>
      <c r="Q41" s="35">
        <f>SUM(Q42:Q50)</f>
        <v>347</v>
      </c>
      <c r="R41" s="36">
        <f>SUM(R42:R50)</f>
        <v>1356</v>
      </c>
      <c r="S41" s="37">
        <f t="shared" si="18"/>
        <v>74.80019980019979</v>
      </c>
      <c r="T41" s="69">
        <f>((J41+K41)*0.73)/(S41/100)</f>
        <v>2922.92</v>
      </c>
      <c r="U41" s="87">
        <f t="shared" si="2"/>
        <v>-72.07999999999993</v>
      </c>
      <c r="V41" s="86">
        <v>-285</v>
      </c>
      <c r="W41" s="87">
        <f>U41-V41</f>
        <v>212.92000000000007</v>
      </c>
      <c r="X41" s="95">
        <v>73</v>
      </c>
      <c r="Y41" s="23" t="s">
        <v>133</v>
      </c>
    </row>
    <row r="42" spans="1:24" ht="20.25" customHeight="1">
      <c r="A42" s="41">
        <v>25</v>
      </c>
      <c r="B42" s="42" t="s">
        <v>45</v>
      </c>
      <c r="C42" s="35">
        <f>D42+E42</f>
        <v>327</v>
      </c>
      <c r="D42" s="43">
        <v>4</v>
      </c>
      <c r="E42" s="44">
        <v>323</v>
      </c>
      <c r="F42" s="45"/>
      <c r="G42" s="77"/>
      <c r="H42" s="46">
        <f t="shared" si="6"/>
        <v>327</v>
      </c>
      <c r="I42" s="46">
        <f>SUM(J42:P42)</f>
        <v>327</v>
      </c>
      <c r="J42" s="45">
        <v>310</v>
      </c>
      <c r="K42" s="45">
        <v>1</v>
      </c>
      <c r="L42" s="57">
        <f t="shared" si="8"/>
        <v>16</v>
      </c>
      <c r="M42" s="45"/>
      <c r="N42" s="45"/>
      <c r="O42" s="49"/>
      <c r="P42" s="49"/>
      <c r="Q42" s="45"/>
      <c r="R42" s="58">
        <f t="shared" si="17"/>
        <v>16</v>
      </c>
      <c r="S42" s="48">
        <f aca="true" t="shared" si="23" ref="S42:S75">IF(ISERROR((J42+K42)/I42*100)=TRUE,0,(J42+K42)/I42*100)</f>
        <v>95.10703363914374</v>
      </c>
      <c r="T42" s="69">
        <f aca="true" t="shared" si="24" ref="T42:T50">((J42+K42)*0.73)/(S42/100)</f>
        <v>238.70999999999998</v>
      </c>
      <c r="U42" s="91">
        <f t="shared" si="2"/>
        <v>-72.29000000000002</v>
      </c>
      <c r="V42" s="85"/>
      <c r="W42" s="85"/>
      <c r="X42" s="94"/>
    </row>
    <row r="43" spans="1:24" ht="20.25" customHeight="1">
      <c r="A43" s="41">
        <v>26</v>
      </c>
      <c r="B43" s="42" t="s">
        <v>46</v>
      </c>
      <c r="C43" s="35">
        <f aca="true" t="shared" si="25" ref="C43:C74">D43+E43</f>
        <v>436</v>
      </c>
      <c r="D43" s="43">
        <v>143</v>
      </c>
      <c r="E43" s="44">
        <v>293</v>
      </c>
      <c r="F43" s="45">
        <v>11</v>
      </c>
      <c r="G43" s="77"/>
      <c r="H43" s="46">
        <f t="shared" si="6"/>
        <v>425</v>
      </c>
      <c r="I43" s="46">
        <f aca="true" t="shared" si="26" ref="I43:I50">SUM(J43:P43)</f>
        <v>377</v>
      </c>
      <c r="J43" s="45">
        <v>273</v>
      </c>
      <c r="K43" s="45">
        <v>3</v>
      </c>
      <c r="L43" s="57">
        <f t="shared" si="8"/>
        <v>73</v>
      </c>
      <c r="M43" s="45">
        <v>15</v>
      </c>
      <c r="N43" s="45"/>
      <c r="O43" s="49"/>
      <c r="P43" s="49">
        <v>13</v>
      </c>
      <c r="Q43" s="45">
        <v>48</v>
      </c>
      <c r="R43" s="58">
        <f t="shared" si="17"/>
        <v>149</v>
      </c>
      <c r="S43" s="48">
        <f t="shared" si="23"/>
        <v>73.20954907161804</v>
      </c>
      <c r="T43" s="69">
        <f t="shared" si="24"/>
        <v>275.21</v>
      </c>
      <c r="U43" s="91">
        <f t="shared" si="2"/>
        <v>-0.7900000000000205</v>
      </c>
      <c r="V43" s="85"/>
      <c r="W43" s="85"/>
      <c r="X43" s="94"/>
    </row>
    <row r="44" spans="1:24" ht="20.25" customHeight="1">
      <c r="A44" s="41">
        <v>27</v>
      </c>
      <c r="B44" s="42" t="s">
        <v>47</v>
      </c>
      <c r="C44" s="35">
        <f t="shared" si="25"/>
        <v>520</v>
      </c>
      <c r="D44" s="43">
        <v>150</v>
      </c>
      <c r="E44" s="44">
        <v>370</v>
      </c>
      <c r="F44" s="45">
        <v>3</v>
      </c>
      <c r="G44" s="77"/>
      <c r="H44" s="46">
        <f t="shared" si="6"/>
        <v>517</v>
      </c>
      <c r="I44" s="46">
        <f t="shared" si="26"/>
        <v>471</v>
      </c>
      <c r="J44" s="45">
        <v>332</v>
      </c>
      <c r="K44" s="45">
        <v>2</v>
      </c>
      <c r="L44" s="57">
        <f t="shared" si="8"/>
        <v>115</v>
      </c>
      <c r="M44" s="45">
        <v>7</v>
      </c>
      <c r="N44" s="45">
        <v>2</v>
      </c>
      <c r="O44" s="49"/>
      <c r="P44" s="49">
        <v>13</v>
      </c>
      <c r="Q44" s="45">
        <v>46</v>
      </c>
      <c r="R44" s="58">
        <f t="shared" si="17"/>
        <v>183</v>
      </c>
      <c r="S44" s="48">
        <f t="shared" si="23"/>
        <v>70.91295116772824</v>
      </c>
      <c r="T44" s="69">
        <f t="shared" si="24"/>
        <v>343.83000000000004</v>
      </c>
      <c r="U44" s="91">
        <f t="shared" si="2"/>
        <v>9.830000000000041</v>
      </c>
      <c r="V44" s="85"/>
      <c r="W44" s="85"/>
      <c r="X44" s="94"/>
    </row>
    <row r="45" spans="1:24" ht="20.25" customHeight="1">
      <c r="A45" s="41">
        <v>28</v>
      </c>
      <c r="B45" s="42" t="s">
        <v>48</v>
      </c>
      <c r="C45" s="35">
        <f t="shared" si="25"/>
        <v>760</v>
      </c>
      <c r="D45" s="43">
        <v>451</v>
      </c>
      <c r="E45" s="44">
        <v>309</v>
      </c>
      <c r="F45" s="45">
        <v>4</v>
      </c>
      <c r="G45" s="77"/>
      <c r="H45" s="46">
        <f t="shared" si="6"/>
        <v>756</v>
      </c>
      <c r="I45" s="46">
        <f t="shared" si="26"/>
        <v>741</v>
      </c>
      <c r="J45" s="45">
        <v>527</v>
      </c>
      <c r="K45" s="45">
        <v>5</v>
      </c>
      <c r="L45" s="57">
        <f t="shared" si="8"/>
        <v>209</v>
      </c>
      <c r="M45" s="45">
        <v>0</v>
      </c>
      <c r="N45" s="45"/>
      <c r="O45" s="49"/>
      <c r="P45" s="49">
        <v>0</v>
      </c>
      <c r="Q45" s="45">
        <v>15</v>
      </c>
      <c r="R45" s="58">
        <f t="shared" si="17"/>
        <v>224</v>
      </c>
      <c r="S45" s="48">
        <f t="shared" si="23"/>
        <v>71.7948717948718</v>
      </c>
      <c r="T45" s="69">
        <f t="shared" si="24"/>
        <v>540.9300000000001</v>
      </c>
      <c r="U45" s="91">
        <f t="shared" si="2"/>
        <v>8.930000000000064</v>
      </c>
      <c r="V45" s="85"/>
      <c r="W45" s="85"/>
      <c r="X45" s="94"/>
    </row>
    <row r="46" spans="1:24" ht="20.25" customHeight="1">
      <c r="A46" s="41">
        <v>29</v>
      </c>
      <c r="B46" s="42" t="s">
        <v>49</v>
      </c>
      <c r="C46" s="35">
        <f t="shared" si="25"/>
        <v>427</v>
      </c>
      <c r="D46" s="43">
        <v>92</v>
      </c>
      <c r="E46" s="44">
        <v>335</v>
      </c>
      <c r="F46" s="45">
        <v>7</v>
      </c>
      <c r="G46" s="77"/>
      <c r="H46" s="46">
        <f t="shared" si="6"/>
        <v>420</v>
      </c>
      <c r="I46" s="46">
        <f t="shared" si="26"/>
        <v>391</v>
      </c>
      <c r="J46" s="45">
        <v>286</v>
      </c>
      <c r="K46" s="45"/>
      <c r="L46" s="57">
        <f t="shared" si="8"/>
        <v>105</v>
      </c>
      <c r="M46" s="45">
        <v>0</v>
      </c>
      <c r="N46" s="45"/>
      <c r="O46" s="49"/>
      <c r="P46" s="49"/>
      <c r="Q46" s="45">
        <v>29</v>
      </c>
      <c r="R46" s="58">
        <f t="shared" si="17"/>
        <v>134</v>
      </c>
      <c r="S46" s="48">
        <f t="shared" si="23"/>
        <v>73.1457800511509</v>
      </c>
      <c r="T46" s="69">
        <f t="shared" si="24"/>
        <v>285.43</v>
      </c>
      <c r="U46" s="91">
        <f t="shared" si="2"/>
        <v>-0.5699999999999932</v>
      </c>
      <c r="V46" s="85"/>
      <c r="W46" s="85"/>
      <c r="X46" s="94"/>
    </row>
    <row r="47" spans="1:24" ht="20.25" customHeight="1">
      <c r="A47" s="41">
        <v>30</v>
      </c>
      <c r="B47" s="42" t="s">
        <v>50</v>
      </c>
      <c r="C47" s="35">
        <f t="shared" si="25"/>
        <v>482</v>
      </c>
      <c r="D47" s="43">
        <v>144</v>
      </c>
      <c r="E47" s="44">
        <v>338</v>
      </c>
      <c r="F47" s="45">
        <v>12</v>
      </c>
      <c r="G47" s="77"/>
      <c r="H47" s="46">
        <f t="shared" si="6"/>
        <v>470</v>
      </c>
      <c r="I47" s="46">
        <f t="shared" si="26"/>
        <v>384</v>
      </c>
      <c r="J47" s="45">
        <v>286</v>
      </c>
      <c r="K47" s="45">
        <v>1</v>
      </c>
      <c r="L47" s="57">
        <f t="shared" si="8"/>
        <v>89</v>
      </c>
      <c r="M47" s="45">
        <v>2</v>
      </c>
      <c r="N47" s="45">
        <v>3</v>
      </c>
      <c r="O47" s="49"/>
      <c r="P47" s="49">
        <v>3</v>
      </c>
      <c r="Q47" s="45">
        <v>86</v>
      </c>
      <c r="R47" s="58">
        <f t="shared" si="17"/>
        <v>183</v>
      </c>
      <c r="S47" s="48">
        <f t="shared" si="23"/>
        <v>74.73958333333334</v>
      </c>
      <c r="T47" s="69">
        <f t="shared" si="24"/>
        <v>280.31999999999994</v>
      </c>
      <c r="U47" s="91">
        <f t="shared" si="2"/>
        <v>-6.680000000000064</v>
      </c>
      <c r="V47" s="85"/>
      <c r="W47" s="85"/>
      <c r="X47" s="94"/>
    </row>
    <row r="48" spans="1:24" ht="20.25" customHeight="1">
      <c r="A48" s="41">
        <v>31</v>
      </c>
      <c r="B48" s="42" t="s">
        <v>51</v>
      </c>
      <c r="C48" s="35">
        <f t="shared" si="25"/>
        <v>554</v>
      </c>
      <c r="D48" s="43">
        <v>202</v>
      </c>
      <c r="E48" s="44">
        <v>352</v>
      </c>
      <c r="F48" s="45"/>
      <c r="G48" s="77"/>
      <c r="H48" s="46">
        <f t="shared" si="6"/>
        <v>554</v>
      </c>
      <c r="I48" s="46">
        <f t="shared" si="26"/>
        <v>498</v>
      </c>
      <c r="J48" s="45">
        <v>342</v>
      </c>
      <c r="K48" s="45">
        <v>11</v>
      </c>
      <c r="L48" s="57">
        <f t="shared" si="8"/>
        <v>55</v>
      </c>
      <c r="M48" s="45">
        <v>8</v>
      </c>
      <c r="N48" s="45"/>
      <c r="O48" s="49">
        <v>0</v>
      </c>
      <c r="P48" s="49">
        <v>82</v>
      </c>
      <c r="Q48" s="45">
        <v>56</v>
      </c>
      <c r="R48" s="58">
        <f t="shared" si="17"/>
        <v>201</v>
      </c>
      <c r="S48" s="48">
        <f t="shared" si="23"/>
        <v>70.88353413654619</v>
      </c>
      <c r="T48" s="69">
        <f t="shared" si="24"/>
        <v>363.53999999999996</v>
      </c>
      <c r="U48" s="91">
        <f t="shared" si="2"/>
        <v>10.539999999999964</v>
      </c>
      <c r="V48" s="85"/>
      <c r="W48" s="85"/>
      <c r="X48" s="94"/>
    </row>
    <row r="49" spans="1:24" ht="20.25" customHeight="1">
      <c r="A49" s="41">
        <v>32</v>
      </c>
      <c r="B49" s="42" t="s">
        <v>52</v>
      </c>
      <c r="C49" s="35">
        <f t="shared" si="25"/>
        <v>522</v>
      </c>
      <c r="D49" s="43">
        <v>148</v>
      </c>
      <c r="E49" s="44">
        <v>374</v>
      </c>
      <c r="F49" s="45">
        <v>8</v>
      </c>
      <c r="G49" s="77">
        <v>1</v>
      </c>
      <c r="H49" s="46">
        <f t="shared" si="6"/>
        <v>514</v>
      </c>
      <c r="I49" s="46">
        <f t="shared" si="26"/>
        <v>449</v>
      </c>
      <c r="J49" s="45">
        <v>327</v>
      </c>
      <c r="K49" s="45">
        <v>8</v>
      </c>
      <c r="L49" s="57">
        <f t="shared" si="8"/>
        <v>84</v>
      </c>
      <c r="M49" s="45">
        <v>11</v>
      </c>
      <c r="N49" s="45"/>
      <c r="O49" s="49"/>
      <c r="P49" s="49">
        <v>19</v>
      </c>
      <c r="Q49" s="45">
        <v>65</v>
      </c>
      <c r="R49" s="58">
        <f t="shared" si="17"/>
        <v>179</v>
      </c>
      <c r="S49" s="48">
        <f t="shared" si="23"/>
        <v>74.61024498886414</v>
      </c>
      <c r="T49" s="69">
        <f t="shared" si="24"/>
        <v>327.77</v>
      </c>
      <c r="U49" s="91">
        <f t="shared" si="2"/>
        <v>-7.230000000000018</v>
      </c>
      <c r="V49" s="85"/>
      <c r="W49" s="85"/>
      <c r="X49" s="94"/>
    </row>
    <row r="50" spans="1:24" ht="20.25" customHeight="1">
      <c r="A50" s="41">
        <v>33</v>
      </c>
      <c r="B50" s="42" t="s">
        <v>53</v>
      </c>
      <c r="C50" s="35">
        <f t="shared" si="25"/>
        <v>378</v>
      </c>
      <c r="D50" s="43">
        <v>15</v>
      </c>
      <c r="E50" s="44">
        <v>363</v>
      </c>
      <c r="F50" s="45">
        <v>10</v>
      </c>
      <c r="G50" s="77"/>
      <c r="H50" s="46">
        <f t="shared" si="6"/>
        <v>368</v>
      </c>
      <c r="I50" s="46">
        <f t="shared" si="26"/>
        <v>366</v>
      </c>
      <c r="J50" s="45">
        <v>281</v>
      </c>
      <c r="K50" s="45"/>
      <c r="L50" s="57">
        <f t="shared" si="8"/>
        <v>85</v>
      </c>
      <c r="M50" s="45"/>
      <c r="N50" s="45"/>
      <c r="O50" s="49"/>
      <c r="P50" s="49"/>
      <c r="Q50" s="45">
        <v>2</v>
      </c>
      <c r="R50" s="58">
        <f t="shared" si="17"/>
        <v>87</v>
      </c>
      <c r="S50" s="48">
        <f t="shared" si="23"/>
        <v>76.775956284153</v>
      </c>
      <c r="T50" s="69">
        <f t="shared" si="24"/>
        <v>267.18</v>
      </c>
      <c r="U50" s="91">
        <f t="shared" si="2"/>
        <v>-13.819999999999993</v>
      </c>
      <c r="V50" s="85"/>
      <c r="W50" s="85"/>
      <c r="X50" s="94"/>
    </row>
    <row r="51" spans="1:25" ht="35.25" customHeight="1">
      <c r="A51" s="33" t="s">
        <v>96</v>
      </c>
      <c r="B51" s="38" t="s">
        <v>114</v>
      </c>
      <c r="C51" s="35">
        <f>SUM(C52:C56)</f>
        <v>3402</v>
      </c>
      <c r="D51" s="36">
        <f aca="true" t="shared" si="27" ref="D51:M51">SUM(D52:D56)</f>
        <v>668</v>
      </c>
      <c r="E51" s="35">
        <f t="shared" si="27"/>
        <v>2734</v>
      </c>
      <c r="F51" s="35">
        <f t="shared" si="27"/>
        <v>194</v>
      </c>
      <c r="G51" s="76">
        <f t="shared" si="27"/>
        <v>7</v>
      </c>
      <c r="H51" s="35">
        <f t="shared" si="27"/>
        <v>3208</v>
      </c>
      <c r="I51" s="35">
        <f t="shared" si="27"/>
        <v>3063</v>
      </c>
      <c r="J51" s="35">
        <f>SUM(J52:J56)</f>
        <v>2203</v>
      </c>
      <c r="K51" s="35">
        <f>SUM(K52:K56)</f>
        <v>66</v>
      </c>
      <c r="L51" s="36">
        <f>H51-J51-K51-SUM(M51:Q51)</f>
        <v>765</v>
      </c>
      <c r="M51" s="35">
        <f t="shared" si="27"/>
        <v>23</v>
      </c>
      <c r="N51" s="35">
        <f>SUM(N52:N56)</f>
        <v>3</v>
      </c>
      <c r="O51" s="35">
        <f>SUM(O52:O56)</f>
        <v>0</v>
      </c>
      <c r="P51" s="35">
        <f>SUM(P52:P56)</f>
        <v>3</v>
      </c>
      <c r="Q51" s="35">
        <f>SUM(Q52:Q56)</f>
        <v>145</v>
      </c>
      <c r="R51" s="36">
        <f>SUM(R52:R56)</f>
        <v>939</v>
      </c>
      <c r="S51" s="37">
        <f t="shared" si="23"/>
        <v>74.07770159973882</v>
      </c>
      <c r="T51" s="69">
        <f aca="true" t="shared" si="28" ref="T51:T56">((J51+K51)*0.7225)/(S51/100)</f>
        <v>2213.0175</v>
      </c>
      <c r="U51" s="87">
        <f t="shared" si="2"/>
        <v>-55.98250000000007</v>
      </c>
      <c r="V51" s="86">
        <v>-179</v>
      </c>
      <c r="W51" s="87">
        <f>U51-V51</f>
        <v>123.01749999999993</v>
      </c>
      <c r="X51" s="95">
        <v>72.25</v>
      </c>
      <c r="Y51" s="23" t="s">
        <v>133</v>
      </c>
    </row>
    <row r="52" spans="1:24" ht="20.25" customHeight="1">
      <c r="A52" s="41">
        <v>34</v>
      </c>
      <c r="B52" s="42" t="s">
        <v>55</v>
      </c>
      <c r="C52" s="35">
        <f t="shared" si="25"/>
        <v>836</v>
      </c>
      <c r="D52" s="43">
        <v>201</v>
      </c>
      <c r="E52" s="44">
        <v>635</v>
      </c>
      <c r="F52" s="45">
        <v>46</v>
      </c>
      <c r="G52" s="77">
        <v>0</v>
      </c>
      <c r="H52" s="46">
        <f t="shared" si="6"/>
        <v>790</v>
      </c>
      <c r="I52" s="46">
        <f>SUM(J52:P52)</f>
        <v>764</v>
      </c>
      <c r="J52" s="45">
        <v>538</v>
      </c>
      <c r="K52" s="45">
        <v>7</v>
      </c>
      <c r="L52" s="57">
        <f>C52-F52-J52-K52-SUM(M52:Q52)</f>
        <v>217</v>
      </c>
      <c r="M52" s="45">
        <v>0</v>
      </c>
      <c r="N52" s="45">
        <v>2</v>
      </c>
      <c r="O52" s="49">
        <v>0</v>
      </c>
      <c r="P52" s="49">
        <v>0</v>
      </c>
      <c r="Q52" s="45">
        <v>26</v>
      </c>
      <c r="R52" s="58">
        <f aca="true" t="shared" si="29" ref="R52:R74">SUM(L52:Q52)</f>
        <v>245</v>
      </c>
      <c r="S52" s="48">
        <f>IF(ISERROR((J52+K52)/I52*100)=TRUE,0,(J52+K52)/I52*100)</f>
        <v>71.33507853403141</v>
      </c>
      <c r="T52" s="69">
        <f t="shared" si="28"/>
        <v>551.99</v>
      </c>
      <c r="U52" s="91">
        <f t="shared" si="2"/>
        <v>6.990000000000009</v>
      </c>
      <c r="V52" s="85"/>
      <c r="W52" s="85"/>
      <c r="X52" s="94"/>
    </row>
    <row r="53" spans="1:24" ht="20.25" customHeight="1">
      <c r="A53" s="41">
        <v>35</v>
      </c>
      <c r="B53" s="42" t="s">
        <v>56</v>
      </c>
      <c r="C53" s="35">
        <f t="shared" si="25"/>
        <v>757</v>
      </c>
      <c r="D53" s="43">
        <v>96</v>
      </c>
      <c r="E53" s="44">
        <v>661</v>
      </c>
      <c r="F53" s="45">
        <v>44</v>
      </c>
      <c r="G53" s="77">
        <v>2</v>
      </c>
      <c r="H53" s="46">
        <f t="shared" si="6"/>
        <v>713</v>
      </c>
      <c r="I53" s="46">
        <f>SUM(J53:P53)</f>
        <v>686</v>
      </c>
      <c r="J53" s="45">
        <v>548</v>
      </c>
      <c r="K53" s="45">
        <v>12</v>
      </c>
      <c r="L53" s="57">
        <f>C53-F53-J53-K53-SUM(M53:Q53)</f>
        <v>122</v>
      </c>
      <c r="M53" s="45">
        <v>1</v>
      </c>
      <c r="N53" s="45">
        <v>0</v>
      </c>
      <c r="O53" s="49">
        <v>0</v>
      </c>
      <c r="P53" s="49">
        <v>3</v>
      </c>
      <c r="Q53" s="45">
        <v>27</v>
      </c>
      <c r="R53" s="58">
        <f t="shared" si="29"/>
        <v>153</v>
      </c>
      <c r="S53" s="48">
        <f>IF(ISERROR((J53+K53)/I53*100)=TRUE,0,(J53+K53)/I53*100)</f>
        <v>81.63265306122449</v>
      </c>
      <c r="T53" s="69">
        <f t="shared" si="28"/>
        <v>495.635</v>
      </c>
      <c r="U53" s="91">
        <f t="shared" si="2"/>
        <v>-64.36500000000001</v>
      </c>
      <c r="V53" s="85"/>
      <c r="W53" s="85"/>
      <c r="X53" s="94"/>
    </row>
    <row r="54" spans="1:24" ht="20.25" customHeight="1">
      <c r="A54" s="41">
        <v>36</v>
      </c>
      <c r="B54" s="42" t="s">
        <v>57</v>
      </c>
      <c r="C54" s="35">
        <f t="shared" si="25"/>
        <v>589</v>
      </c>
      <c r="D54" s="43">
        <v>143</v>
      </c>
      <c r="E54" s="44">
        <v>446</v>
      </c>
      <c r="F54" s="45">
        <v>29</v>
      </c>
      <c r="G54" s="77">
        <v>0</v>
      </c>
      <c r="H54" s="46">
        <f t="shared" si="6"/>
        <v>560</v>
      </c>
      <c r="I54" s="46">
        <f>SUM(J54:P54)</f>
        <v>515</v>
      </c>
      <c r="J54" s="45">
        <v>369</v>
      </c>
      <c r="K54" s="45">
        <v>13</v>
      </c>
      <c r="L54" s="57">
        <f>C54-F54-J54-K54-SUM(M54:Q54)</f>
        <v>116</v>
      </c>
      <c r="M54" s="45">
        <v>16</v>
      </c>
      <c r="N54" s="45">
        <v>1</v>
      </c>
      <c r="O54" s="49">
        <v>0</v>
      </c>
      <c r="P54" s="49">
        <v>0</v>
      </c>
      <c r="Q54" s="45">
        <v>45</v>
      </c>
      <c r="R54" s="58">
        <f t="shared" si="29"/>
        <v>178</v>
      </c>
      <c r="S54" s="48">
        <f>IF(ISERROR((J54+K54)/I54*100)=TRUE,0,(J54+K54)/I54*100)</f>
        <v>74.1747572815534</v>
      </c>
      <c r="T54" s="69">
        <f t="shared" si="28"/>
        <v>372.08750000000003</v>
      </c>
      <c r="U54" s="91">
        <f t="shared" si="2"/>
        <v>-9.912499999999966</v>
      </c>
      <c r="V54" s="85"/>
      <c r="W54" s="85"/>
      <c r="X54" s="94"/>
    </row>
    <row r="55" spans="1:24" ht="20.25" customHeight="1">
      <c r="A55" s="41">
        <v>37</v>
      </c>
      <c r="B55" s="42" t="s">
        <v>58</v>
      </c>
      <c r="C55" s="35">
        <f t="shared" si="25"/>
        <v>384</v>
      </c>
      <c r="D55" s="43">
        <v>70</v>
      </c>
      <c r="E55" s="44">
        <v>314</v>
      </c>
      <c r="F55" s="45">
        <v>24</v>
      </c>
      <c r="G55" s="77">
        <v>0</v>
      </c>
      <c r="H55" s="46">
        <f t="shared" si="6"/>
        <v>360</v>
      </c>
      <c r="I55" s="46">
        <f>SUM(J55:P55)</f>
        <v>341</v>
      </c>
      <c r="J55" s="45">
        <v>244</v>
      </c>
      <c r="K55" s="45">
        <v>9</v>
      </c>
      <c r="L55" s="57">
        <f>C55-F55-J55-K55-SUM(M55:Q55)</f>
        <v>88</v>
      </c>
      <c r="M55" s="45">
        <v>0</v>
      </c>
      <c r="N55" s="45">
        <v>0</v>
      </c>
      <c r="O55" s="49">
        <v>0</v>
      </c>
      <c r="P55" s="49">
        <v>0</v>
      </c>
      <c r="Q55" s="45">
        <v>19</v>
      </c>
      <c r="R55" s="58">
        <f t="shared" si="29"/>
        <v>107</v>
      </c>
      <c r="S55" s="48">
        <f>IF(ISERROR((J55+K55)/I55*100)=TRUE,0,(J55+K55)/I55*100)</f>
        <v>74.19354838709677</v>
      </c>
      <c r="T55" s="69">
        <f t="shared" si="28"/>
        <v>246.37250000000006</v>
      </c>
      <c r="U55" s="91">
        <f t="shared" si="2"/>
        <v>-6.627499999999941</v>
      </c>
      <c r="V55" s="85"/>
      <c r="W55" s="85"/>
      <c r="X55" s="94"/>
    </row>
    <row r="56" spans="1:24" ht="25.5" customHeight="1">
      <c r="A56" s="41">
        <v>38</v>
      </c>
      <c r="B56" s="42" t="s">
        <v>115</v>
      </c>
      <c r="C56" s="35">
        <f t="shared" si="25"/>
        <v>836</v>
      </c>
      <c r="D56" s="43">
        <v>158</v>
      </c>
      <c r="E56" s="44">
        <v>678</v>
      </c>
      <c r="F56" s="45">
        <v>51</v>
      </c>
      <c r="G56" s="77">
        <v>5</v>
      </c>
      <c r="H56" s="46">
        <f t="shared" si="6"/>
        <v>785</v>
      </c>
      <c r="I56" s="46">
        <f>SUM(J56:P56)</f>
        <v>757</v>
      </c>
      <c r="J56" s="45">
        <v>504</v>
      </c>
      <c r="K56" s="45">
        <v>25</v>
      </c>
      <c r="L56" s="57">
        <f>C56-F56-J56-K56-SUM(M56:Q56)</f>
        <v>222</v>
      </c>
      <c r="M56" s="45">
        <v>6</v>
      </c>
      <c r="N56" s="45">
        <v>0</v>
      </c>
      <c r="O56" s="49">
        <v>0</v>
      </c>
      <c r="P56" s="49">
        <v>0</v>
      </c>
      <c r="Q56" s="45">
        <v>28</v>
      </c>
      <c r="R56" s="58">
        <f t="shared" si="29"/>
        <v>256</v>
      </c>
      <c r="S56" s="48">
        <f>IF(ISERROR((J56+K56)/I56*100)=TRUE,0,(J56+K56)/I56*100)</f>
        <v>69.88110964332893</v>
      </c>
      <c r="T56" s="69">
        <f t="shared" si="28"/>
        <v>546.9325</v>
      </c>
      <c r="U56" s="91">
        <f t="shared" si="2"/>
        <v>17.932500000000005</v>
      </c>
      <c r="V56" s="85"/>
      <c r="W56" s="85"/>
      <c r="X56" s="94"/>
    </row>
    <row r="57" spans="1:25" ht="31.5" customHeight="1">
      <c r="A57" s="33" t="s">
        <v>97</v>
      </c>
      <c r="B57" s="38" t="s">
        <v>59</v>
      </c>
      <c r="C57" s="35">
        <f>SUM(C58:C63)</f>
        <v>2498</v>
      </c>
      <c r="D57" s="36">
        <f aca="true" t="shared" si="30" ref="D57:M57">SUM(D58:D63)</f>
        <v>763</v>
      </c>
      <c r="E57" s="35">
        <f t="shared" si="30"/>
        <v>1735</v>
      </c>
      <c r="F57" s="35">
        <f t="shared" si="30"/>
        <v>68</v>
      </c>
      <c r="G57" s="76">
        <f t="shared" si="30"/>
        <v>0</v>
      </c>
      <c r="H57" s="35">
        <f t="shared" si="30"/>
        <v>2430</v>
      </c>
      <c r="I57" s="35">
        <f t="shared" si="30"/>
        <v>2204</v>
      </c>
      <c r="J57" s="35">
        <f t="shared" si="30"/>
        <v>1521</v>
      </c>
      <c r="K57" s="35">
        <f t="shared" si="30"/>
        <v>38</v>
      </c>
      <c r="L57" s="36">
        <f>H57-J57-K57-SUM(M57:Q57)</f>
        <v>592</v>
      </c>
      <c r="M57" s="35">
        <f t="shared" si="30"/>
        <v>48</v>
      </c>
      <c r="N57" s="35">
        <f>SUM(N58:N63)</f>
        <v>4</v>
      </c>
      <c r="O57" s="35">
        <f>SUM(O58:O63)</f>
        <v>0</v>
      </c>
      <c r="P57" s="35">
        <f>SUM(P58:P63)</f>
        <v>1</v>
      </c>
      <c r="Q57" s="35">
        <f>SUM(Q58:Q63)</f>
        <v>226</v>
      </c>
      <c r="R57" s="35">
        <f>SUM(R58:R63)</f>
        <v>871</v>
      </c>
      <c r="S57" s="37">
        <f t="shared" si="23"/>
        <v>70.73502722323049</v>
      </c>
      <c r="T57" s="69">
        <f>((J57+K57)*0.73)/(S57/100)</f>
        <v>1608.92</v>
      </c>
      <c r="U57" s="87">
        <f t="shared" si="2"/>
        <v>49.92000000000007</v>
      </c>
      <c r="V57" s="86">
        <v>-122</v>
      </c>
      <c r="W57" s="87">
        <f>U57-V57</f>
        <v>171.92000000000007</v>
      </c>
      <c r="X57" s="95">
        <v>73</v>
      </c>
      <c r="Y57" s="23" t="s">
        <v>133</v>
      </c>
    </row>
    <row r="58" spans="1:24" ht="20.25" customHeight="1">
      <c r="A58" s="41">
        <v>39</v>
      </c>
      <c r="B58" s="42" t="s">
        <v>60</v>
      </c>
      <c r="C58" s="35">
        <f t="shared" si="25"/>
        <v>189</v>
      </c>
      <c r="D58" s="43">
        <v>7</v>
      </c>
      <c r="E58" s="44">
        <v>182</v>
      </c>
      <c r="F58" s="45">
        <v>5</v>
      </c>
      <c r="G58" s="77"/>
      <c r="H58" s="46">
        <f t="shared" si="6"/>
        <v>184</v>
      </c>
      <c r="I58" s="46">
        <f aca="true" t="shared" si="31" ref="I58:I63">SUM(J58:P58)</f>
        <v>180</v>
      </c>
      <c r="J58" s="45">
        <v>172</v>
      </c>
      <c r="K58" s="45"/>
      <c r="L58" s="57">
        <f t="shared" si="8"/>
        <v>4</v>
      </c>
      <c r="M58" s="45">
        <v>2</v>
      </c>
      <c r="N58" s="45">
        <v>2</v>
      </c>
      <c r="O58" s="49"/>
      <c r="P58" s="49"/>
      <c r="Q58" s="45">
        <v>4</v>
      </c>
      <c r="R58" s="58">
        <f t="shared" si="29"/>
        <v>12</v>
      </c>
      <c r="S58" s="48">
        <f t="shared" si="23"/>
        <v>95.55555555555556</v>
      </c>
      <c r="T58" s="69">
        <f aca="true" t="shared" si="32" ref="T58:T63">((J58+K58)*0.73)/(S58/100)</f>
        <v>131.4</v>
      </c>
      <c r="U58" s="91">
        <f t="shared" si="2"/>
        <v>-40.599999999999994</v>
      </c>
      <c r="V58" s="85"/>
      <c r="W58" s="85"/>
      <c r="X58" s="94"/>
    </row>
    <row r="59" spans="1:24" ht="20.25" customHeight="1">
      <c r="A59" s="41">
        <v>40</v>
      </c>
      <c r="B59" s="42" t="s">
        <v>61</v>
      </c>
      <c r="C59" s="35">
        <f t="shared" si="25"/>
        <v>566</v>
      </c>
      <c r="D59" s="43">
        <v>240</v>
      </c>
      <c r="E59" s="44">
        <v>326</v>
      </c>
      <c r="F59" s="45">
        <v>14</v>
      </c>
      <c r="G59" s="77"/>
      <c r="H59" s="46">
        <f t="shared" si="6"/>
        <v>552</v>
      </c>
      <c r="I59" s="46">
        <f t="shared" si="31"/>
        <v>501</v>
      </c>
      <c r="J59" s="45">
        <v>302</v>
      </c>
      <c r="K59" s="45">
        <v>3</v>
      </c>
      <c r="L59" s="57">
        <f t="shared" si="8"/>
        <v>170</v>
      </c>
      <c r="M59" s="45">
        <v>23</v>
      </c>
      <c r="N59" s="45">
        <v>2</v>
      </c>
      <c r="O59" s="49"/>
      <c r="P59" s="49">
        <v>1</v>
      </c>
      <c r="Q59" s="45">
        <v>51</v>
      </c>
      <c r="R59" s="58">
        <f t="shared" si="29"/>
        <v>247</v>
      </c>
      <c r="S59" s="48">
        <f t="shared" si="23"/>
        <v>60.87824351297405</v>
      </c>
      <c r="T59" s="69">
        <f t="shared" si="32"/>
        <v>365.73</v>
      </c>
      <c r="U59" s="91">
        <f t="shared" si="2"/>
        <v>60.73000000000002</v>
      </c>
      <c r="V59" s="85"/>
      <c r="W59" s="85"/>
      <c r="X59" s="94"/>
    </row>
    <row r="60" spans="1:24" ht="20.25" customHeight="1">
      <c r="A60" s="41">
        <v>41</v>
      </c>
      <c r="B60" s="42" t="s">
        <v>62</v>
      </c>
      <c r="C60" s="35">
        <f t="shared" si="25"/>
        <v>390</v>
      </c>
      <c r="D60" s="43">
        <v>105</v>
      </c>
      <c r="E60" s="44">
        <v>285</v>
      </c>
      <c r="F60" s="45">
        <v>10</v>
      </c>
      <c r="G60" s="77"/>
      <c r="H60" s="46">
        <f t="shared" si="6"/>
        <v>380</v>
      </c>
      <c r="I60" s="46">
        <f t="shared" si="31"/>
        <v>350</v>
      </c>
      <c r="J60" s="45">
        <v>244</v>
      </c>
      <c r="K60" s="45">
        <v>7</v>
      </c>
      <c r="L60" s="57">
        <f t="shared" si="8"/>
        <v>91</v>
      </c>
      <c r="M60" s="45">
        <v>8</v>
      </c>
      <c r="N60" s="45"/>
      <c r="O60" s="49"/>
      <c r="P60" s="49"/>
      <c r="Q60" s="45">
        <v>30</v>
      </c>
      <c r="R60" s="58">
        <f t="shared" si="29"/>
        <v>129</v>
      </c>
      <c r="S60" s="48">
        <f t="shared" si="23"/>
        <v>71.71428571428572</v>
      </c>
      <c r="T60" s="69">
        <f t="shared" si="32"/>
        <v>255.49999999999997</v>
      </c>
      <c r="U60" s="91">
        <f t="shared" si="2"/>
        <v>4.499999999999972</v>
      </c>
      <c r="V60" s="85"/>
      <c r="W60" s="85"/>
      <c r="X60" s="94"/>
    </row>
    <row r="61" spans="1:24" ht="20.25" customHeight="1">
      <c r="A61" s="41">
        <v>42</v>
      </c>
      <c r="B61" s="42" t="s">
        <v>63</v>
      </c>
      <c r="C61" s="35">
        <f t="shared" si="25"/>
        <v>533</v>
      </c>
      <c r="D61" s="43">
        <v>206</v>
      </c>
      <c r="E61" s="44">
        <v>327</v>
      </c>
      <c r="F61" s="45">
        <v>14</v>
      </c>
      <c r="G61" s="77"/>
      <c r="H61" s="46">
        <f t="shared" si="6"/>
        <v>519</v>
      </c>
      <c r="I61" s="46">
        <f t="shared" si="31"/>
        <v>423</v>
      </c>
      <c r="J61" s="45">
        <v>298</v>
      </c>
      <c r="K61" s="45">
        <v>5</v>
      </c>
      <c r="L61" s="57">
        <f t="shared" si="8"/>
        <v>114</v>
      </c>
      <c r="M61" s="45">
        <v>6</v>
      </c>
      <c r="N61" s="45"/>
      <c r="O61" s="49"/>
      <c r="P61" s="49"/>
      <c r="Q61" s="45">
        <v>96</v>
      </c>
      <c r="R61" s="58">
        <f t="shared" si="29"/>
        <v>216</v>
      </c>
      <c r="S61" s="48">
        <f t="shared" si="23"/>
        <v>71.63120567375887</v>
      </c>
      <c r="T61" s="69">
        <f t="shared" si="32"/>
        <v>308.78999999999996</v>
      </c>
      <c r="U61" s="91">
        <f t="shared" si="2"/>
        <v>5.789999999999964</v>
      </c>
      <c r="V61" s="85"/>
      <c r="W61" s="85"/>
      <c r="X61" s="94"/>
    </row>
    <row r="62" spans="1:24" ht="20.25" customHeight="1">
      <c r="A62" s="41">
        <v>43</v>
      </c>
      <c r="B62" s="42" t="s">
        <v>64</v>
      </c>
      <c r="C62" s="35">
        <f t="shared" si="25"/>
        <v>450</v>
      </c>
      <c r="D62" s="43">
        <v>180</v>
      </c>
      <c r="E62" s="44">
        <v>270</v>
      </c>
      <c r="F62" s="45">
        <v>6</v>
      </c>
      <c r="G62" s="77"/>
      <c r="H62" s="46">
        <f t="shared" si="6"/>
        <v>444</v>
      </c>
      <c r="I62" s="46">
        <f t="shared" si="31"/>
        <v>401</v>
      </c>
      <c r="J62" s="45">
        <v>253</v>
      </c>
      <c r="K62" s="45">
        <v>18</v>
      </c>
      <c r="L62" s="57">
        <f t="shared" si="8"/>
        <v>121</v>
      </c>
      <c r="M62" s="45">
        <v>9</v>
      </c>
      <c r="N62" s="45"/>
      <c r="O62" s="49"/>
      <c r="P62" s="49"/>
      <c r="Q62" s="45">
        <v>43</v>
      </c>
      <c r="R62" s="58">
        <f t="shared" si="29"/>
        <v>173</v>
      </c>
      <c r="S62" s="48">
        <f t="shared" si="23"/>
        <v>67.58104738154613</v>
      </c>
      <c r="T62" s="69">
        <f t="shared" si="32"/>
        <v>292.72999999999996</v>
      </c>
      <c r="U62" s="91">
        <f t="shared" si="2"/>
        <v>21.72999999999996</v>
      </c>
      <c r="V62" s="85"/>
      <c r="W62" s="85"/>
      <c r="X62" s="94"/>
    </row>
    <row r="63" spans="1:24" ht="20.25" customHeight="1">
      <c r="A63" s="41">
        <v>44</v>
      </c>
      <c r="B63" s="42" t="s">
        <v>65</v>
      </c>
      <c r="C63" s="35">
        <f t="shared" si="25"/>
        <v>370</v>
      </c>
      <c r="D63" s="43">
        <v>25</v>
      </c>
      <c r="E63" s="44">
        <v>345</v>
      </c>
      <c r="F63" s="45">
        <v>19</v>
      </c>
      <c r="G63" s="77"/>
      <c r="H63" s="46">
        <f t="shared" si="6"/>
        <v>351</v>
      </c>
      <c r="I63" s="46">
        <f t="shared" si="31"/>
        <v>349</v>
      </c>
      <c r="J63" s="45">
        <v>252</v>
      </c>
      <c r="K63" s="45">
        <v>5</v>
      </c>
      <c r="L63" s="57">
        <f t="shared" si="8"/>
        <v>92</v>
      </c>
      <c r="M63" s="45"/>
      <c r="N63" s="45"/>
      <c r="O63" s="49"/>
      <c r="P63" s="49"/>
      <c r="Q63" s="45">
        <v>2</v>
      </c>
      <c r="R63" s="58">
        <f t="shared" si="29"/>
        <v>94</v>
      </c>
      <c r="S63" s="48">
        <f t="shared" si="23"/>
        <v>73.63896848137536</v>
      </c>
      <c r="T63" s="69">
        <f t="shared" si="32"/>
        <v>254.76999999999998</v>
      </c>
      <c r="U63" s="91">
        <f t="shared" si="2"/>
        <v>-2.230000000000018</v>
      </c>
      <c r="V63" s="85"/>
      <c r="W63" s="85"/>
      <c r="X63" s="94"/>
    </row>
    <row r="64" spans="1:25" ht="26.25" customHeight="1">
      <c r="A64" s="33" t="s">
        <v>98</v>
      </c>
      <c r="B64" s="38" t="s">
        <v>66</v>
      </c>
      <c r="C64" s="35">
        <f>SUM(C65:C68)</f>
        <v>5061</v>
      </c>
      <c r="D64" s="36">
        <f aca="true" t="shared" si="33" ref="D64:M64">SUM(D65:D68)</f>
        <v>1639</v>
      </c>
      <c r="E64" s="35">
        <f t="shared" si="33"/>
        <v>3422</v>
      </c>
      <c r="F64" s="35">
        <f t="shared" si="33"/>
        <v>18</v>
      </c>
      <c r="G64" s="76">
        <f t="shared" si="33"/>
        <v>0</v>
      </c>
      <c r="H64" s="35">
        <f t="shared" si="33"/>
        <v>5043</v>
      </c>
      <c r="I64" s="35">
        <f t="shared" si="33"/>
        <v>4736</v>
      </c>
      <c r="J64" s="35">
        <f t="shared" si="33"/>
        <v>2978</v>
      </c>
      <c r="K64" s="35">
        <f t="shared" si="33"/>
        <v>60</v>
      </c>
      <c r="L64" s="36">
        <f>H64-J64-K64-SUM(M64:Q64)</f>
        <v>1548</v>
      </c>
      <c r="M64" s="35">
        <f t="shared" si="33"/>
        <v>140</v>
      </c>
      <c r="N64" s="35">
        <f>SUM(N65:N68)</f>
        <v>5</v>
      </c>
      <c r="O64" s="35">
        <f>SUM(O65:O68)</f>
        <v>0</v>
      </c>
      <c r="P64" s="35">
        <f>SUM(P65:P68)</f>
        <v>5</v>
      </c>
      <c r="Q64" s="35">
        <f>SUM(Q65:Q68)</f>
        <v>307</v>
      </c>
      <c r="R64" s="35">
        <f>SUM(R65:R68)</f>
        <v>2005</v>
      </c>
      <c r="S64" s="37">
        <f t="shared" si="23"/>
        <v>64.14695945945947</v>
      </c>
      <c r="T64" s="69">
        <f aca="true" t="shared" si="34" ref="T64:T74">((J64+K64)*0.71)/(S64/100)</f>
        <v>3362.56</v>
      </c>
      <c r="U64" s="87">
        <f t="shared" si="2"/>
        <v>324.55999999999995</v>
      </c>
      <c r="V64" s="86">
        <v>-263</v>
      </c>
      <c r="W64" s="87">
        <f>U64-V64</f>
        <v>587.56</v>
      </c>
      <c r="X64" s="95">
        <v>71</v>
      </c>
      <c r="Y64" s="23" t="s">
        <v>133</v>
      </c>
    </row>
    <row r="65" spans="1:24" ht="20.25" customHeight="1">
      <c r="A65" s="41">
        <v>45</v>
      </c>
      <c r="B65" s="42" t="s">
        <v>67</v>
      </c>
      <c r="C65" s="35">
        <f t="shared" si="25"/>
        <v>881</v>
      </c>
      <c r="D65" s="43">
        <v>239</v>
      </c>
      <c r="E65" s="44">
        <v>642</v>
      </c>
      <c r="F65" s="45">
        <v>3</v>
      </c>
      <c r="G65" s="77"/>
      <c r="H65" s="46">
        <f t="shared" si="6"/>
        <v>878</v>
      </c>
      <c r="I65" s="46">
        <f>SUM(J65:P65)</f>
        <v>813</v>
      </c>
      <c r="J65" s="45">
        <v>479</v>
      </c>
      <c r="K65" s="45">
        <v>15</v>
      </c>
      <c r="L65" s="57">
        <f t="shared" si="8"/>
        <v>293</v>
      </c>
      <c r="M65" s="45">
        <v>23</v>
      </c>
      <c r="N65" s="45">
        <v>0</v>
      </c>
      <c r="O65" s="49">
        <v>0</v>
      </c>
      <c r="P65" s="49">
        <v>3</v>
      </c>
      <c r="Q65" s="45">
        <v>65</v>
      </c>
      <c r="R65" s="58">
        <f t="shared" si="29"/>
        <v>384</v>
      </c>
      <c r="S65" s="48">
        <f t="shared" si="23"/>
        <v>60.76260762607626</v>
      </c>
      <c r="T65" s="69">
        <f t="shared" si="34"/>
        <v>577.23</v>
      </c>
      <c r="U65" s="91">
        <f t="shared" si="2"/>
        <v>83.23000000000002</v>
      </c>
      <c r="V65" s="85"/>
      <c r="W65" s="85"/>
      <c r="X65" s="94"/>
    </row>
    <row r="66" spans="1:24" ht="20.25" customHeight="1">
      <c r="A66" s="41">
        <v>46</v>
      </c>
      <c r="B66" s="42" t="s">
        <v>68</v>
      </c>
      <c r="C66" s="35">
        <f t="shared" si="25"/>
        <v>1558</v>
      </c>
      <c r="D66" s="43">
        <v>561</v>
      </c>
      <c r="E66" s="44">
        <v>997</v>
      </c>
      <c r="F66" s="45">
        <v>12</v>
      </c>
      <c r="G66" s="77"/>
      <c r="H66" s="46">
        <f t="shared" si="6"/>
        <v>1546</v>
      </c>
      <c r="I66" s="46">
        <f>SUM(J66:P66)</f>
        <v>1455</v>
      </c>
      <c r="J66" s="45">
        <v>967</v>
      </c>
      <c r="K66" s="45">
        <v>20</v>
      </c>
      <c r="L66" s="57">
        <f t="shared" si="8"/>
        <v>453</v>
      </c>
      <c r="M66" s="45">
        <v>12</v>
      </c>
      <c r="N66" s="45">
        <v>1</v>
      </c>
      <c r="O66" s="49">
        <v>0</v>
      </c>
      <c r="P66" s="49">
        <v>2</v>
      </c>
      <c r="Q66" s="45">
        <v>91</v>
      </c>
      <c r="R66" s="58">
        <f t="shared" si="29"/>
        <v>559</v>
      </c>
      <c r="S66" s="48">
        <f t="shared" si="23"/>
        <v>67.83505154639175</v>
      </c>
      <c r="T66" s="69">
        <f t="shared" si="34"/>
        <v>1033.05</v>
      </c>
      <c r="U66" s="91">
        <f t="shared" si="2"/>
        <v>46.049999999999955</v>
      </c>
      <c r="V66" s="85"/>
      <c r="W66" s="85"/>
      <c r="X66" s="94"/>
    </row>
    <row r="67" spans="1:24" ht="20.25" customHeight="1">
      <c r="A67" s="41">
        <v>47</v>
      </c>
      <c r="B67" s="42" t="s">
        <v>69</v>
      </c>
      <c r="C67" s="35">
        <f t="shared" si="25"/>
        <v>1596</v>
      </c>
      <c r="D67" s="43">
        <v>539</v>
      </c>
      <c r="E67" s="44">
        <v>1057</v>
      </c>
      <c r="F67" s="45">
        <v>3</v>
      </c>
      <c r="G67" s="77">
        <v>0</v>
      </c>
      <c r="H67" s="46">
        <f t="shared" si="6"/>
        <v>1593</v>
      </c>
      <c r="I67" s="46">
        <f>SUM(J67:P67)</f>
        <v>1489</v>
      </c>
      <c r="J67" s="45">
        <v>906</v>
      </c>
      <c r="K67" s="45">
        <v>20</v>
      </c>
      <c r="L67" s="57">
        <f t="shared" si="8"/>
        <v>486</v>
      </c>
      <c r="M67" s="45">
        <v>73</v>
      </c>
      <c r="N67" s="45">
        <v>4</v>
      </c>
      <c r="O67" s="49"/>
      <c r="P67" s="49"/>
      <c r="Q67" s="45">
        <v>104</v>
      </c>
      <c r="R67" s="58">
        <f t="shared" si="29"/>
        <v>667</v>
      </c>
      <c r="S67" s="48">
        <f t="shared" si="23"/>
        <v>62.189388851578244</v>
      </c>
      <c r="T67" s="69">
        <f t="shared" si="34"/>
        <v>1057.1899999999998</v>
      </c>
      <c r="U67" s="91">
        <f t="shared" si="2"/>
        <v>131.18999999999983</v>
      </c>
      <c r="V67" s="85"/>
      <c r="W67" s="85"/>
      <c r="X67" s="94"/>
    </row>
    <row r="68" spans="1:24" ht="20.25" customHeight="1">
      <c r="A68" s="41">
        <v>48</v>
      </c>
      <c r="B68" s="42" t="s">
        <v>70</v>
      </c>
      <c r="C68" s="35">
        <f t="shared" si="25"/>
        <v>1026</v>
      </c>
      <c r="D68" s="43">
        <v>300</v>
      </c>
      <c r="E68" s="44">
        <v>726</v>
      </c>
      <c r="F68" s="45"/>
      <c r="G68" s="77"/>
      <c r="H68" s="46">
        <f t="shared" si="6"/>
        <v>1026</v>
      </c>
      <c r="I68" s="46">
        <f>SUM(J68:P68)</f>
        <v>979</v>
      </c>
      <c r="J68" s="45">
        <v>626</v>
      </c>
      <c r="K68" s="45">
        <v>5</v>
      </c>
      <c r="L68" s="57">
        <f t="shared" si="8"/>
        <v>316</v>
      </c>
      <c r="M68" s="45">
        <v>32</v>
      </c>
      <c r="N68" s="45"/>
      <c r="O68" s="49"/>
      <c r="P68" s="49"/>
      <c r="Q68" s="45">
        <v>47</v>
      </c>
      <c r="R68" s="58">
        <f t="shared" si="29"/>
        <v>395</v>
      </c>
      <c r="S68" s="48">
        <f t="shared" si="23"/>
        <v>64.4535240040858</v>
      </c>
      <c r="T68" s="69">
        <f t="shared" si="34"/>
        <v>695.0899999999999</v>
      </c>
      <c r="U68" s="91">
        <f t="shared" si="2"/>
        <v>64.08999999999992</v>
      </c>
      <c r="V68" s="85"/>
      <c r="W68" s="85"/>
      <c r="X68" s="94"/>
    </row>
    <row r="69" spans="1:25" ht="30.75" customHeight="1">
      <c r="A69" s="33" t="s">
        <v>99</v>
      </c>
      <c r="B69" s="38" t="s">
        <v>71</v>
      </c>
      <c r="C69" s="35">
        <f>SUM(C70:C71)</f>
        <v>1364</v>
      </c>
      <c r="D69" s="36">
        <f aca="true" t="shared" si="35" ref="D69:M69">SUM(D70:D71)</f>
        <v>305</v>
      </c>
      <c r="E69" s="35">
        <f t="shared" si="35"/>
        <v>1059</v>
      </c>
      <c r="F69" s="35">
        <f t="shared" si="35"/>
        <v>29</v>
      </c>
      <c r="G69" s="76">
        <f t="shared" si="35"/>
        <v>1</v>
      </c>
      <c r="H69" s="35">
        <f t="shared" si="35"/>
        <v>1335</v>
      </c>
      <c r="I69" s="35">
        <f t="shared" si="35"/>
        <v>1250</v>
      </c>
      <c r="J69" s="35">
        <f t="shared" si="35"/>
        <v>803</v>
      </c>
      <c r="K69" s="35">
        <f t="shared" si="35"/>
        <v>13</v>
      </c>
      <c r="L69" s="36">
        <f>H69-J69-K69-SUM(M69:Q69)</f>
        <v>379</v>
      </c>
      <c r="M69" s="35">
        <f t="shared" si="35"/>
        <v>26</v>
      </c>
      <c r="N69" s="35">
        <f>SUM(N70:N71)</f>
        <v>3</v>
      </c>
      <c r="O69" s="35">
        <f>SUM(O70:O71)</f>
        <v>0</v>
      </c>
      <c r="P69" s="35">
        <f>SUM(P70:P71)</f>
        <v>26</v>
      </c>
      <c r="Q69" s="35">
        <f>SUM(Q70:Q71)</f>
        <v>85</v>
      </c>
      <c r="R69" s="36">
        <f>SUM(R70:R71)</f>
        <v>519</v>
      </c>
      <c r="S69" s="37">
        <f t="shared" si="23"/>
        <v>65.28</v>
      </c>
      <c r="T69" s="69">
        <f t="shared" si="34"/>
        <v>887.5</v>
      </c>
      <c r="U69" s="87">
        <f t="shared" si="2"/>
        <v>71.5</v>
      </c>
      <c r="V69" s="86">
        <v>-53</v>
      </c>
      <c r="W69" s="87">
        <f>U69-V69</f>
        <v>124.5</v>
      </c>
      <c r="X69" s="95">
        <v>71</v>
      </c>
      <c r="Y69" s="23" t="s">
        <v>133</v>
      </c>
    </row>
    <row r="70" spans="1:24" ht="20.25" customHeight="1">
      <c r="A70" s="41">
        <v>49</v>
      </c>
      <c r="B70" s="42" t="s">
        <v>130</v>
      </c>
      <c r="C70" s="35">
        <f t="shared" si="25"/>
        <v>653</v>
      </c>
      <c r="D70" s="43">
        <v>147</v>
      </c>
      <c r="E70" s="44">
        <v>506</v>
      </c>
      <c r="F70" s="45">
        <v>23</v>
      </c>
      <c r="G70" s="77">
        <v>1</v>
      </c>
      <c r="H70" s="46">
        <f t="shared" si="6"/>
        <v>630</v>
      </c>
      <c r="I70" s="46">
        <f>SUM(J70:P70)</f>
        <v>581</v>
      </c>
      <c r="J70" s="45">
        <v>356</v>
      </c>
      <c r="K70" s="45">
        <v>1</v>
      </c>
      <c r="L70" s="57">
        <f t="shared" si="8"/>
        <v>197</v>
      </c>
      <c r="M70" s="45">
        <v>12</v>
      </c>
      <c r="N70" s="45">
        <v>3</v>
      </c>
      <c r="O70" s="49"/>
      <c r="P70" s="49">
        <v>12</v>
      </c>
      <c r="Q70" s="45">
        <v>49</v>
      </c>
      <c r="R70" s="58">
        <f t="shared" si="29"/>
        <v>273</v>
      </c>
      <c r="S70" s="48">
        <f t="shared" si="23"/>
        <v>61.44578313253012</v>
      </c>
      <c r="T70" s="69">
        <f t="shared" si="34"/>
        <v>412.51</v>
      </c>
      <c r="U70" s="91">
        <f t="shared" si="2"/>
        <v>55.50999999999999</v>
      </c>
      <c r="V70" s="85"/>
      <c r="W70" s="85"/>
      <c r="X70" s="94"/>
    </row>
    <row r="71" spans="1:24" ht="20.25" customHeight="1">
      <c r="A71" s="41">
        <v>50</v>
      </c>
      <c r="B71" s="42" t="s">
        <v>73</v>
      </c>
      <c r="C71" s="35">
        <f t="shared" si="25"/>
        <v>711</v>
      </c>
      <c r="D71" s="43">
        <v>158</v>
      </c>
      <c r="E71" s="44">
        <v>553</v>
      </c>
      <c r="F71" s="45">
        <v>6</v>
      </c>
      <c r="G71" s="77"/>
      <c r="H71" s="46">
        <f t="shared" si="6"/>
        <v>705</v>
      </c>
      <c r="I71" s="46">
        <f>SUM(J71:P71)</f>
        <v>669</v>
      </c>
      <c r="J71" s="45">
        <v>447</v>
      </c>
      <c r="K71" s="45">
        <v>12</v>
      </c>
      <c r="L71" s="57">
        <f t="shared" si="8"/>
        <v>182</v>
      </c>
      <c r="M71" s="45">
        <v>14</v>
      </c>
      <c r="N71" s="45"/>
      <c r="O71" s="49"/>
      <c r="P71" s="49">
        <v>14</v>
      </c>
      <c r="Q71" s="45">
        <v>36</v>
      </c>
      <c r="R71" s="58">
        <f t="shared" si="29"/>
        <v>246</v>
      </c>
      <c r="S71" s="48">
        <f t="shared" si="23"/>
        <v>68.60986547085201</v>
      </c>
      <c r="T71" s="69">
        <f t="shared" si="34"/>
        <v>474.99</v>
      </c>
      <c r="U71" s="91">
        <f t="shared" si="2"/>
        <v>15.990000000000009</v>
      </c>
      <c r="V71" s="85"/>
      <c r="W71" s="85"/>
      <c r="X71" s="94"/>
    </row>
    <row r="72" spans="1:25" ht="25.5" customHeight="1">
      <c r="A72" s="33" t="s">
        <v>100</v>
      </c>
      <c r="B72" s="38" t="s">
        <v>74</v>
      </c>
      <c r="C72" s="35">
        <f>SUM(C73:C74)</f>
        <v>1584</v>
      </c>
      <c r="D72" s="35">
        <f aca="true" t="shared" si="36" ref="D72:M72">SUM(D73:D74)</f>
        <v>517</v>
      </c>
      <c r="E72" s="35">
        <f t="shared" si="36"/>
        <v>1067</v>
      </c>
      <c r="F72" s="35">
        <f t="shared" si="36"/>
        <v>31</v>
      </c>
      <c r="G72" s="76">
        <f t="shared" si="36"/>
        <v>0</v>
      </c>
      <c r="H72" s="35">
        <f t="shared" si="36"/>
        <v>1553</v>
      </c>
      <c r="I72" s="35">
        <f t="shared" si="36"/>
        <v>1443</v>
      </c>
      <c r="J72" s="35">
        <f t="shared" si="36"/>
        <v>903</v>
      </c>
      <c r="K72" s="35">
        <f t="shared" si="36"/>
        <v>21</v>
      </c>
      <c r="L72" s="36">
        <f>H72-J72-K72-SUM(M72:Q72)</f>
        <v>446</v>
      </c>
      <c r="M72" s="35">
        <f t="shared" si="36"/>
        <v>67</v>
      </c>
      <c r="N72" s="35">
        <f>SUM(N73:N74)</f>
        <v>1</v>
      </c>
      <c r="O72" s="35">
        <f>SUM(O73:O74)</f>
        <v>0</v>
      </c>
      <c r="P72" s="35">
        <f>SUM(P73:P74)</f>
        <v>5</v>
      </c>
      <c r="Q72" s="35">
        <f>SUM(Q73:Q74)</f>
        <v>110</v>
      </c>
      <c r="R72" s="39">
        <f t="shared" si="29"/>
        <v>629</v>
      </c>
      <c r="S72" s="40">
        <f t="shared" si="23"/>
        <v>64.03326403326403</v>
      </c>
      <c r="T72" s="69">
        <f t="shared" si="34"/>
        <v>1024.53</v>
      </c>
      <c r="U72" s="87">
        <f t="shared" si="2"/>
        <v>100.52999999999997</v>
      </c>
      <c r="V72" s="86">
        <v>-68</v>
      </c>
      <c r="W72" s="87">
        <f>U72-V72</f>
        <v>168.52999999999997</v>
      </c>
      <c r="X72" s="95">
        <v>71</v>
      </c>
      <c r="Y72" s="23" t="s">
        <v>133</v>
      </c>
    </row>
    <row r="73" spans="1:24" ht="20.25" customHeight="1">
      <c r="A73" s="41">
        <v>51</v>
      </c>
      <c r="B73" s="42" t="s">
        <v>75</v>
      </c>
      <c r="C73" s="35">
        <f t="shared" si="25"/>
        <v>867</v>
      </c>
      <c r="D73" s="43">
        <v>242</v>
      </c>
      <c r="E73" s="44">
        <v>625</v>
      </c>
      <c r="F73" s="45">
        <v>19</v>
      </c>
      <c r="G73" s="77">
        <v>0</v>
      </c>
      <c r="H73" s="46">
        <f t="shared" si="6"/>
        <v>848</v>
      </c>
      <c r="I73" s="46">
        <f>SUM(J73:P73)</f>
        <v>772</v>
      </c>
      <c r="J73" s="45">
        <v>550</v>
      </c>
      <c r="K73" s="45">
        <v>17</v>
      </c>
      <c r="L73" s="57">
        <f t="shared" si="8"/>
        <v>189</v>
      </c>
      <c r="M73" s="45">
        <v>14</v>
      </c>
      <c r="N73" s="45">
        <v>0</v>
      </c>
      <c r="O73" s="49">
        <v>0</v>
      </c>
      <c r="P73" s="49">
        <v>2</v>
      </c>
      <c r="Q73" s="45">
        <v>76</v>
      </c>
      <c r="R73" s="58">
        <f t="shared" si="29"/>
        <v>281</v>
      </c>
      <c r="S73" s="48">
        <f t="shared" si="23"/>
        <v>73.44559585492227</v>
      </c>
      <c r="T73" s="69">
        <f t="shared" si="34"/>
        <v>548.12</v>
      </c>
      <c r="U73" s="91">
        <f t="shared" si="2"/>
        <v>-18.879999999999995</v>
      </c>
      <c r="V73" s="85"/>
      <c r="W73" s="85"/>
      <c r="X73" s="94"/>
    </row>
    <row r="74" spans="1:24" ht="20.25" customHeight="1">
      <c r="A74" s="41">
        <v>52</v>
      </c>
      <c r="B74" s="42" t="s">
        <v>76</v>
      </c>
      <c r="C74" s="35">
        <f t="shared" si="25"/>
        <v>717</v>
      </c>
      <c r="D74" s="43">
        <v>275</v>
      </c>
      <c r="E74" s="44">
        <v>442</v>
      </c>
      <c r="F74" s="45">
        <v>12</v>
      </c>
      <c r="G74" s="77">
        <v>0</v>
      </c>
      <c r="H74" s="46">
        <f t="shared" si="6"/>
        <v>705</v>
      </c>
      <c r="I74" s="46">
        <f>SUM(J74:P74)</f>
        <v>671</v>
      </c>
      <c r="J74" s="45">
        <v>353</v>
      </c>
      <c r="K74" s="45">
        <v>4</v>
      </c>
      <c r="L74" s="57">
        <f t="shared" si="8"/>
        <v>257</v>
      </c>
      <c r="M74" s="45">
        <v>53</v>
      </c>
      <c r="N74" s="45">
        <v>1</v>
      </c>
      <c r="O74" s="49">
        <v>0</v>
      </c>
      <c r="P74" s="49">
        <v>3</v>
      </c>
      <c r="Q74" s="45">
        <v>34</v>
      </c>
      <c r="R74" s="58">
        <f t="shared" si="29"/>
        <v>348</v>
      </c>
      <c r="S74" s="48">
        <f t="shared" si="23"/>
        <v>53.20417287630402</v>
      </c>
      <c r="T74" s="69">
        <f t="shared" si="34"/>
        <v>476.41</v>
      </c>
      <c r="U74" s="92">
        <f t="shared" si="2"/>
        <v>119.41000000000003</v>
      </c>
      <c r="V74" s="85"/>
      <c r="W74" s="85"/>
      <c r="X74" s="94"/>
    </row>
    <row r="75" spans="1:25" ht="30" customHeight="1">
      <c r="A75" s="33" t="s">
        <v>101</v>
      </c>
      <c r="B75" s="38" t="s">
        <v>77</v>
      </c>
      <c r="C75" s="35">
        <f>SUM(C76:C79)</f>
        <v>994</v>
      </c>
      <c r="D75" s="50">
        <f aca="true" t="shared" si="37" ref="D75:M75">SUM(D76:D79)</f>
        <v>332</v>
      </c>
      <c r="E75" s="35">
        <f t="shared" si="37"/>
        <v>662</v>
      </c>
      <c r="F75" s="35">
        <f t="shared" si="37"/>
        <v>39</v>
      </c>
      <c r="G75" s="76">
        <f t="shared" si="37"/>
        <v>4</v>
      </c>
      <c r="H75" s="35">
        <f t="shared" si="37"/>
        <v>955</v>
      </c>
      <c r="I75" s="35">
        <f t="shared" si="37"/>
        <v>867</v>
      </c>
      <c r="J75" s="35">
        <f t="shared" si="37"/>
        <v>543</v>
      </c>
      <c r="K75" s="35">
        <f t="shared" si="37"/>
        <v>6</v>
      </c>
      <c r="L75" s="36">
        <f>H75-J75-K75-SUM(M75:Q75)</f>
        <v>276</v>
      </c>
      <c r="M75" s="35">
        <f t="shared" si="37"/>
        <v>12</v>
      </c>
      <c r="N75" s="35">
        <f>SUM(N76:N79)</f>
        <v>0</v>
      </c>
      <c r="O75" s="35">
        <f>SUM(O76:O79)</f>
        <v>0</v>
      </c>
      <c r="P75" s="35">
        <f>SUM(P76:P79)</f>
        <v>30</v>
      </c>
      <c r="Q75" s="35">
        <f>SUM(Q76:Q79)</f>
        <v>88</v>
      </c>
      <c r="R75" s="36">
        <f>SUM(R76:R79)</f>
        <v>406</v>
      </c>
      <c r="S75" s="37">
        <f t="shared" si="23"/>
        <v>63.32179930795848</v>
      </c>
      <c r="T75" s="69">
        <f>((J75+K75)*0.72)/(S75/100)</f>
        <v>624.2399999999999</v>
      </c>
      <c r="U75" s="87">
        <f t="shared" si="2"/>
        <v>75.2399999999999</v>
      </c>
      <c r="V75" s="86">
        <v>-24</v>
      </c>
      <c r="W75" s="87">
        <f>U75-V75</f>
        <v>99.2399999999999</v>
      </c>
      <c r="X75" s="95">
        <v>72</v>
      </c>
      <c r="Y75" s="23" t="s">
        <v>133</v>
      </c>
    </row>
    <row r="76" spans="1:24" ht="20.25" customHeight="1">
      <c r="A76" s="41">
        <v>53</v>
      </c>
      <c r="B76" s="42" t="s">
        <v>78</v>
      </c>
      <c r="C76" s="35">
        <f>D76+E76</f>
        <v>174</v>
      </c>
      <c r="D76" s="43">
        <v>5</v>
      </c>
      <c r="E76" s="44">
        <v>169</v>
      </c>
      <c r="F76" s="45">
        <v>15</v>
      </c>
      <c r="G76" s="77"/>
      <c r="H76" s="46">
        <f t="shared" si="6"/>
        <v>159</v>
      </c>
      <c r="I76" s="46">
        <f>SUM(J76:P76)</f>
        <v>159</v>
      </c>
      <c r="J76" s="45">
        <v>135</v>
      </c>
      <c r="K76" s="45"/>
      <c r="L76" s="57">
        <f t="shared" si="8"/>
        <v>24</v>
      </c>
      <c r="M76" s="45"/>
      <c r="N76" s="45"/>
      <c r="O76" s="49"/>
      <c r="P76" s="49"/>
      <c r="Q76" s="45"/>
      <c r="R76" s="58">
        <f>SUM(L76:Q76)</f>
        <v>24</v>
      </c>
      <c r="S76" s="48">
        <f>IF(ISERROR((J76+K76)/I76*100)=TRUE,0,(J76+K76)/I76*100)</f>
        <v>84.90566037735849</v>
      </c>
      <c r="T76" s="69">
        <f>((J76+K76)*0.72)/(S76/100)</f>
        <v>114.48000000000002</v>
      </c>
      <c r="U76" s="91">
        <f t="shared" si="2"/>
        <v>-20.519999999999982</v>
      </c>
      <c r="V76" s="85"/>
      <c r="W76" s="85"/>
      <c r="X76" s="94"/>
    </row>
    <row r="77" spans="1:24" ht="20.25" customHeight="1">
      <c r="A77" s="41">
        <v>54</v>
      </c>
      <c r="B77" s="42" t="s">
        <v>79</v>
      </c>
      <c r="C77" s="35">
        <f>D77+E77</f>
        <v>276</v>
      </c>
      <c r="D77" s="43">
        <v>116</v>
      </c>
      <c r="E77" s="44">
        <v>160</v>
      </c>
      <c r="F77" s="45">
        <v>4</v>
      </c>
      <c r="G77" s="77">
        <v>4</v>
      </c>
      <c r="H77" s="46">
        <f t="shared" si="6"/>
        <v>272</v>
      </c>
      <c r="I77" s="46">
        <f>SUM(J77:P77)</f>
        <v>235</v>
      </c>
      <c r="J77" s="45">
        <v>124</v>
      </c>
      <c r="K77" s="45">
        <v>4</v>
      </c>
      <c r="L77" s="57">
        <f t="shared" si="8"/>
        <v>83</v>
      </c>
      <c r="M77" s="45">
        <v>1</v>
      </c>
      <c r="N77" s="45"/>
      <c r="O77" s="49"/>
      <c r="P77" s="49">
        <v>23</v>
      </c>
      <c r="Q77" s="45">
        <v>37</v>
      </c>
      <c r="R77" s="58">
        <f>SUM(L77:Q77)</f>
        <v>144</v>
      </c>
      <c r="S77" s="48">
        <f>IF(ISERROR((J77+K77)/I77*100)=TRUE,0,(J77+K77)/I77*100)</f>
        <v>54.46808510638298</v>
      </c>
      <c r="T77" s="69">
        <f>((J77+K77)*0.72)/(S77/100)</f>
        <v>169.2</v>
      </c>
      <c r="U77" s="91">
        <f t="shared" si="2"/>
        <v>41.19999999999999</v>
      </c>
      <c r="V77" s="85"/>
      <c r="W77" s="85"/>
      <c r="X77" s="94"/>
    </row>
    <row r="78" spans="1:24" ht="20.25" customHeight="1">
      <c r="A78" s="41">
        <v>55</v>
      </c>
      <c r="B78" s="42" t="s">
        <v>80</v>
      </c>
      <c r="C78" s="35">
        <f>D78+E78</f>
        <v>296</v>
      </c>
      <c r="D78" s="43">
        <v>121</v>
      </c>
      <c r="E78" s="44">
        <v>175</v>
      </c>
      <c r="F78" s="45">
        <v>8</v>
      </c>
      <c r="G78" s="77"/>
      <c r="H78" s="46">
        <f t="shared" si="6"/>
        <v>288</v>
      </c>
      <c r="I78" s="46">
        <f>SUM(J78:P78)</f>
        <v>264</v>
      </c>
      <c r="J78" s="45">
        <v>160</v>
      </c>
      <c r="K78" s="45"/>
      <c r="L78" s="57">
        <f t="shared" si="8"/>
        <v>100</v>
      </c>
      <c r="M78" s="45">
        <v>1</v>
      </c>
      <c r="N78" s="45"/>
      <c r="O78" s="49"/>
      <c r="P78" s="49">
        <v>3</v>
      </c>
      <c r="Q78" s="45">
        <v>24</v>
      </c>
      <c r="R78" s="58">
        <f>SUM(L78:Q78)</f>
        <v>128</v>
      </c>
      <c r="S78" s="48">
        <f>IF(ISERROR((J78+K78)/I78*100)=TRUE,0,(J78+K78)/I78*100)</f>
        <v>60.60606060606061</v>
      </c>
      <c r="T78" s="69">
        <f>((J78+K78)*0.72)/(S78/100)</f>
        <v>190.07999999999998</v>
      </c>
      <c r="U78" s="91">
        <f>T78-(J78+K78)</f>
        <v>30.079999999999984</v>
      </c>
      <c r="V78" s="85"/>
      <c r="W78" s="85"/>
      <c r="X78" s="94"/>
    </row>
    <row r="79" spans="1:24" ht="20.25" customHeight="1">
      <c r="A79" s="41">
        <v>56</v>
      </c>
      <c r="B79" s="42" t="s">
        <v>81</v>
      </c>
      <c r="C79" s="35">
        <f>D79+E79</f>
        <v>248</v>
      </c>
      <c r="D79" s="43">
        <v>90</v>
      </c>
      <c r="E79" s="52">
        <v>158</v>
      </c>
      <c r="F79" s="51">
        <v>12</v>
      </c>
      <c r="G79" s="79"/>
      <c r="H79" s="46">
        <f t="shared" si="6"/>
        <v>236</v>
      </c>
      <c r="I79" s="46">
        <f>SUM(J79:P79)</f>
        <v>209</v>
      </c>
      <c r="J79" s="52">
        <v>124</v>
      </c>
      <c r="K79" s="51">
        <v>2</v>
      </c>
      <c r="L79" s="57">
        <f t="shared" si="8"/>
        <v>69</v>
      </c>
      <c r="M79" s="52">
        <v>10</v>
      </c>
      <c r="N79" s="52"/>
      <c r="O79" s="52"/>
      <c r="P79" s="52">
        <v>4</v>
      </c>
      <c r="Q79" s="52">
        <v>27</v>
      </c>
      <c r="R79" s="58">
        <f>SUM(L79:Q79)</f>
        <v>110</v>
      </c>
      <c r="S79" s="48">
        <f>IF(ISERROR((J79+K79)/I79*100)=TRUE,0,(J79+K79)/I79*100)</f>
        <v>60.28708133971292</v>
      </c>
      <c r="T79" s="69">
        <f>((J79+K79)*0.72)/(S79/100)</f>
        <v>150.48</v>
      </c>
      <c r="U79" s="91">
        <f>T79-(J79+K79)</f>
        <v>24.47999999999999</v>
      </c>
      <c r="V79" s="85"/>
      <c r="W79" s="85"/>
      <c r="X79" s="94"/>
    </row>
    <row r="80" spans="16:19" ht="15.75" customHeight="1">
      <c r="P80" s="108" t="s">
        <v>125</v>
      </c>
      <c r="Q80" s="108"/>
      <c r="R80" s="108"/>
      <c r="S80" s="108"/>
    </row>
    <row r="81" spans="2:19" ht="15.75" customHeight="1">
      <c r="B81" s="22" t="s">
        <v>28</v>
      </c>
      <c r="P81" s="124" t="s">
        <v>94</v>
      </c>
      <c r="Q81" s="124"/>
      <c r="R81" s="124"/>
      <c r="S81" s="124"/>
    </row>
    <row r="82" spans="16:19" ht="15.75" customHeight="1">
      <c r="P82" s="101" t="s">
        <v>95</v>
      </c>
      <c r="Q82" s="101"/>
      <c r="R82" s="101"/>
      <c r="S82" s="101"/>
    </row>
    <row r="83" ht="24.75" customHeight="1"/>
    <row r="84" ht="24.75" customHeight="1"/>
    <row r="85" spans="2:19" ht="36.75" customHeight="1">
      <c r="B85" s="62" t="s">
        <v>105</v>
      </c>
      <c r="P85" s="101" t="s">
        <v>83</v>
      </c>
      <c r="Q85" s="101"/>
      <c r="R85" s="101"/>
      <c r="S85" s="101"/>
    </row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4.75" customHeight="1"/>
    <row r="125" ht="24.75" customHeight="1"/>
    <row r="126" ht="24.75" customHeight="1"/>
    <row r="127" ht="24.75" customHeight="1"/>
    <row r="128" ht="24.75" customHeight="1"/>
    <row r="129" ht="21.75" customHeight="1"/>
    <row r="130" ht="21.75" customHeight="1"/>
    <row r="131" ht="21.75" customHeight="1" hidden="1"/>
    <row r="132" ht="21.75" customHeight="1"/>
    <row r="133" ht="19.5" customHeight="1"/>
    <row r="134" ht="19.5" customHeight="1"/>
    <row r="135" ht="19.5" customHeight="1"/>
    <row r="136" ht="19.5" customHeight="1"/>
    <row r="137" ht="21.75" customHeight="1"/>
    <row r="138" ht="18" customHeight="1"/>
    <row r="139" ht="18" customHeight="1"/>
    <row r="140" ht="18" customHeight="1" hidden="1"/>
    <row r="141" ht="8.25" customHeight="1" hidden="1"/>
    <row r="142" ht="6.75" customHeight="1" hidden="1"/>
  </sheetData>
  <sheetProtection/>
  <mergeCells count="41">
    <mergeCell ref="P2:S2"/>
    <mergeCell ref="D3:Q3"/>
    <mergeCell ref="R7:R11"/>
    <mergeCell ref="I8:P8"/>
    <mergeCell ref="Q8:Q11"/>
    <mergeCell ref="M10:M11"/>
    <mergeCell ref="G7:G11"/>
    <mergeCell ref="H8:H11"/>
    <mergeCell ref="K10:K11"/>
    <mergeCell ref="X7:X11"/>
    <mergeCell ref="V7:W7"/>
    <mergeCell ref="V8:V11"/>
    <mergeCell ref="W8:W11"/>
    <mergeCell ref="U7:U11"/>
    <mergeCell ref="I9:I11"/>
    <mergeCell ref="J9:P9"/>
    <mergeCell ref="N10:N11"/>
    <mergeCell ref="O10:O11"/>
    <mergeCell ref="P10:P11"/>
    <mergeCell ref="O4:Q4"/>
    <mergeCell ref="L10:L11"/>
    <mergeCell ref="A1:C1"/>
    <mergeCell ref="P1:S1"/>
    <mergeCell ref="A2:C2"/>
    <mergeCell ref="P81:S81"/>
    <mergeCell ref="A12:B12"/>
    <mergeCell ref="D10:D11"/>
    <mergeCell ref="E10:E11"/>
    <mergeCell ref="J10:J11"/>
    <mergeCell ref="D1:O1"/>
    <mergeCell ref="D2:O2"/>
    <mergeCell ref="P85:S85"/>
    <mergeCell ref="P82:S82"/>
    <mergeCell ref="A7:B11"/>
    <mergeCell ref="P80:S80"/>
    <mergeCell ref="S7:S11"/>
    <mergeCell ref="C8:C11"/>
    <mergeCell ref="D8:E9"/>
    <mergeCell ref="C7:E7"/>
    <mergeCell ref="F7:F11"/>
    <mergeCell ref="H7:Q7"/>
  </mergeCells>
  <printOptions horizontalCentered="1"/>
  <pageMargins left="0.24" right="0.16" top="0.29" bottom="0.2" header="0.31" footer="0.2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143"/>
  <sheetViews>
    <sheetView showZeros="0" zoomScalePageLayoutView="0" workbookViewId="0" topLeftCell="H1">
      <selection activeCell="Z64" sqref="Z1:Z16384"/>
    </sheetView>
  </sheetViews>
  <sheetFormatPr defaultColWidth="9.21484375" defaultRowHeight="15"/>
  <cols>
    <col min="1" max="1" width="2.21484375" style="2" customWidth="1"/>
    <col min="2" max="2" width="13.5546875" style="2" customWidth="1"/>
    <col min="3" max="3" width="8.4453125" style="2" bestFit="1" customWidth="1"/>
    <col min="4" max="4" width="8.5546875" style="66" customWidth="1"/>
    <col min="5" max="5" width="8.21484375" style="2" customWidth="1"/>
    <col min="6" max="6" width="7.3359375" style="2" customWidth="1"/>
    <col min="7" max="7" width="7.5546875" style="2" customWidth="1"/>
    <col min="8" max="8" width="8.4453125" style="2" bestFit="1" customWidth="1"/>
    <col min="9" max="9" width="8.4453125" style="2" customWidth="1"/>
    <col min="10" max="10" width="7.21484375" style="2" customWidth="1"/>
    <col min="11" max="11" width="7.4453125" style="2" bestFit="1" customWidth="1"/>
    <col min="12" max="12" width="4.4453125" style="2" customWidth="1"/>
    <col min="13" max="13" width="8.5546875" style="2" customWidth="1"/>
    <col min="14" max="14" width="7.4453125" style="2" customWidth="1"/>
    <col min="15" max="15" width="7.10546875" style="2" customWidth="1"/>
    <col min="16" max="16" width="4.4453125" style="2" customWidth="1"/>
    <col min="17" max="17" width="7.88671875" style="2" customWidth="1"/>
    <col min="18" max="18" width="8.21484375" style="2" customWidth="1"/>
    <col min="19" max="19" width="8.4453125" style="2" bestFit="1" customWidth="1"/>
    <col min="20" max="20" width="4.6640625" style="2" bestFit="1" customWidth="1"/>
    <col min="21" max="21" width="9.21484375" style="2" hidden="1" customWidth="1"/>
    <col min="22" max="22" width="8.21484375" style="2" hidden="1" customWidth="1"/>
    <col min="23" max="23" width="7.21484375" style="2" hidden="1" customWidth="1"/>
    <col min="24" max="24" width="7.77734375" style="2" hidden="1" customWidth="1"/>
    <col min="25" max="25" width="4.10546875" style="96" hidden="1" customWidth="1"/>
    <col min="26" max="26" width="0" style="2" hidden="1" customWidth="1"/>
    <col min="27" max="16384" width="9.21484375" style="2" customWidth="1"/>
  </cols>
  <sheetData>
    <row r="1" spans="1:20" ht="29.25" customHeight="1">
      <c r="A1" s="156" t="s">
        <v>29</v>
      </c>
      <c r="B1" s="156"/>
      <c r="C1" s="130" t="s">
        <v>122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57" t="s">
        <v>104</v>
      </c>
      <c r="S1" s="158"/>
      <c r="T1" s="158"/>
    </row>
    <row r="2" spans="1:20" ht="30" customHeight="1">
      <c r="A2" s="159" t="s">
        <v>6</v>
      </c>
      <c r="B2" s="159"/>
      <c r="C2" s="160" t="s">
        <v>1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57" t="s">
        <v>103</v>
      </c>
      <c r="S2" s="158"/>
      <c r="T2" s="158"/>
    </row>
    <row r="3" spans="1:20" ht="11.25">
      <c r="A3" s="3" t="s">
        <v>2</v>
      </c>
      <c r="B3" s="3"/>
      <c r="C3" s="4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8" t="s">
        <v>30</v>
      </c>
      <c r="S3" s="158"/>
      <c r="T3" s="158"/>
    </row>
    <row r="4" spans="1:20" ht="11.25">
      <c r="A4" s="3"/>
      <c r="B4" s="3"/>
      <c r="C4" s="5"/>
      <c r="D4" s="6"/>
      <c r="E4" s="150" t="s">
        <v>134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8"/>
      <c r="S4" s="9"/>
      <c r="T4" s="9"/>
    </row>
    <row r="5" spans="1:25" s="10" customFormat="1" ht="21" customHeight="1">
      <c r="A5" s="11"/>
      <c r="B5" s="3"/>
      <c r="C5" s="3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Y5" s="97"/>
    </row>
    <row r="6" spans="1:25" s="12" customFormat="1" ht="13.5" customHeight="1">
      <c r="A6" s="177" t="s">
        <v>7</v>
      </c>
      <c r="B6" s="178"/>
      <c r="C6" s="162" t="s">
        <v>8</v>
      </c>
      <c r="D6" s="163"/>
      <c r="E6" s="164"/>
      <c r="F6" s="165" t="s">
        <v>9</v>
      </c>
      <c r="G6" s="174" t="s">
        <v>10</v>
      </c>
      <c r="H6" s="162" t="s">
        <v>11</v>
      </c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152" t="s">
        <v>12</v>
      </c>
      <c r="T6" s="152" t="s">
        <v>31</v>
      </c>
      <c r="V6" s="186" t="s">
        <v>129</v>
      </c>
      <c r="W6" s="140" t="s">
        <v>128</v>
      </c>
      <c r="X6" s="140"/>
      <c r="Y6" s="139" t="s">
        <v>131</v>
      </c>
    </row>
    <row r="7" spans="1:25" s="13" customFormat="1" ht="14.25" customHeight="1">
      <c r="A7" s="179"/>
      <c r="B7" s="180"/>
      <c r="C7" s="152" t="s">
        <v>14</v>
      </c>
      <c r="D7" s="165" t="s">
        <v>15</v>
      </c>
      <c r="E7" s="183"/>
      <c r="F7" s="166"/>
      <c r="G7" s="175"/>
      <c r="H7" s="169" t="s">
        <v>4</v>
      </c>
      <c r="I7" s="167" t="s">
        <v>16</v>
      </c>
      <c r="J7" s="170"/>
      <c r="K7" s="170"/>
      <c r="L7" s="170"/>
      <c r="M7" s="170"/>
      <c r="N7" s="170"/>
      <c r="O7" s="170"/>
      <c r="P7" s="170"/>
      <c r="Q7" s="171"/>
      <c r="R7" s="166" t="s">
        <v>17</v>
      </c>
      <c r="S7" s="169"/>
      <c r="T7" s="169"/>
      <c r="V7" s="186"/>
      <c r="W7" s="140" t="s">
        <v>126</v>
      </c>
      <c r="X7" s="140" t="s">
        <v>127</v>
      </c>
      <c r="Y7" s="139"/>
    </row>
    <row r="8" spans="1:25" ht="19.5" customHeight="1">
      <c r="A8" s="179"/>
      <c r="B8" s="180"/>
      <c r="C8" s="169"/>
      <c r="D8" s="167"/>
      <c r="E8" s="171"/>
      <c r="F8" s="166"/>
      <c r="G8" s="175"/>
      <c r="H8" s="169"/>
      <c r="I8" s="152" t="s">
        <v>4</v>
      </c>
      <c r="J8" s="189" t="s">
        <v>15</v>
      </c>
      <c r="K8" s="190"/>
      <c r="L8" s="190"/>
      <c r="M8" s="190"/>
      <c r="N8" s="190"/>
      <c r="O8" s="190"/>
      <c r="P8" s="190"/>
      <c r="Q8" s="191"/>
      <c r="R8" s="166"/>
      <c r="S8" s="169"/>
      <c r="T8" s="169"/>
      <c r="V8" s="186"/>
      <c r="W8" s="140"/>
      <c r="X8" s="140"/>
      <c r="Y8" s="139"/>
    </row>
    <row r="9" spans="1:25" ht="12" customHeight="1">
      <c r="A9" s="179"/>
      <c r="B9" s="180"/>
      <c r="C9" s="169"/>
      <c r="D9" s="184" t="s">
        <v>107</v>
      </c>
      <c r="E9" s="152" t="s">
        <v>19</v>
      </c>
      <c r="F9" s="166"/>
      <c r="G9" s="175"/>
      <c r="H9" s="169"/>
      <c r="I9" s="169"/>
      <c r="J9" s="151" t="s">
        <v>20</v>
      </c>
      <c r="K9" s="151" t="s">
        <v>21</v>
      </c>
      <c r="L9" s="151" t="s">
        <v>32</v>
      </c>
      <c r="M9" s="173" t="s">
        <v>22</v>
      </c>
      <c r="N9" s="152" t="s">
        <v>23</v>
      </c>
      <c r="O9" s="152" t="s">
        <v>24</v>
      </c>
      <c r="P9" s="152" t="s">
        <v>25</v>
      </c>
      <c r="Q9" s="152" t="s">
        <v>26</v>
      </c>
      <c r="R9" s="166"/>
      <c r="S9" s="169"/>
      <c r="T9" s="169"/>
      <c r="V9" s="186"/>
      <c r="W9" s="140"/>
      <c r="X9" s="140"/>
      <c r="Y9" s="139"/>
    </row>
    <row r="10" spans="1:25" ht="41.25" customHeight="1">
      <c r="A10" s="181"/>
      <c r="B10" s="182"/>
      <c r="C10" s="168"/>
      <c r="D10" s="185"/>
      <c r="E10" s="168"/>
      <c r="F10" s="167"/>
      <c r="G10" s="176"/>
      <c r="H10" s="168"/>
      <c r="I10" s="168"/>
      <c r="J10" s="151"/>
      <c r="K10" s="151"/>
      <c r="L10" s="151"/>
      <c r="M10" s="173"/>
      <c r="N10" s="153"/>
      <c r="O10" s="168"/>
      <c r="P10" s="168"/>
      <c r="Q10" s="168"/>
      <c r="R10" s="167"/>
      <c r="S10" s="168"/>
      <c r="T10" s="168"/>
      <c r="V10" s="186"/>
      <c r="W10" s="140"/>
      <c r="X10" s="140"/>
      <c r="Y10" s="139"/>
    </row>
    <row r="11" spans="1:25" ht="12.75" customHeight="1">
      <c r="A11" s="187" t="s">
        <v>27</v>
      </c>
      <c r="B11" s="188"/>
      <c r="C11" s="14">
        <v>1</v>
      </c>
      <c r="D11" s="63">
        <v>2</v>
      </c>
      <c r="E11" s="14">
        <v>3</v>
      </c>
      <c r="F11" s="14">
        <v>4</v>
      </c>
      <c r="G11" s="14">
        <v>5</v>
      </c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14">
        <v>11</v>
      </c>
      <c r="N11" s="14">
        <v>12</v>
      </c>
      <c r="O11" s="14">
        <v>13</v>
      </c>
      <c r="P11" s="14">
        <v>14</v>
      </c>
      <c r="Q11" s="14">
        <v>15</v>
      </c>
      <c r="R11" s="14">
        <v>16</v>
      </c>
      <c r="S11" s="14">
        <v>17</v>
      </c>
      <c r="T11" s="14">
        <v>18</v>
      </c>
      <c r="V11" s="80"/>
      <c r="W11" s="80"/>
      <c r="X11" s="80"/>
      <c r="Y11" s="99"/>
    </row>
    <row r="12" spans="1:25" ht="21.75" customHeight="1">
      <c r="A12" s="15"/>
      <c r="B12" s="16" t="s">
        <v>33</v>
      </c>
      <c r="C12" s="19">
        <f aca="true" t="shared" si="0" ref="C12:L12">C13+C24+C32+C40+C50+C56+C63+C68+C71+C74</f>
        <v>5289286378</v>
      </c>
      <c r="D12" s="64">
        <f t="shared" si="0"/>
        <v>3110954787</v>
      </c>
      <c r="E12" s="19">
        <f t="shared" si="0"/>
        <v>2178331591</v>
      </c>
      <c r="F12" s="19">
        <f t="shared" si="0"/>
        <v>206480996</v>
      </c>
      <c r="G12" s="71">
        <f t="shared" si="0"/>
        <v>846748909</v>
      </c>
      <c r="H12" s="19">
        <f t="shared" si="0"/>
        <v>5082805382</v>
      </c>
      <c r="I12" s="19">
        <f t="shared" si="0"/>
        <v>4666473363</v>
      </c>
      <c r="J12" s="19">
        <f t="shared" si="0"/>
        <v>754765758</v>
      </c>
      <c r="K12" s="19">
        <f t="shared" si="0"/>
        <v>386135535</v>
      </c>
      <c r="L12" s="19">
        <f t="shared" si="0"/>
        <v>17300</v>
      </c>
      <c r="M12" s="55">
        <f>H12-J12-K12-L12-SUM(N12:R12)</f>
        <v>3038973525</v>
      </c>
      <c r="N12" s="19">
        <f aca="true" t="shared" si="1" ref="N12:S12">N13+N24+N32+N40+N50+N56+N63+N68+N71+N74</f>
        <v>244593143</v>
      </c>
      <c r="O12" s="19">
        <f t="shared" si="1"/>
        <v>26511502</v>
      </c>
      <c r="P12" s="19">
        <f t="shared" si="1"/>
        <v>0</v>
      </c>
      <c r="Q12" s="19">
        <f t="shared" si="1"/>
        <v>215476600</v>
      </c>
      <c r="R12" s="19">
        <f t="shared" si="1"/>
        <v>416332019</v>
      </c>
      <c r="S12" s="19">
        <f t="shared" si="1"/>
        <v>3941886789</v>
      </c>
      <c r="T12" s="53">
        <f>IF(ISERROR((J12+K12+L12)/I12*100)=TRUE,0,(J12+K12+L12)/I12*100)</f>
        <v>24.44926830711666</v>
      </c>
      <c r="U12" s="2">
        <f>((J12+K12)*0.3095)/(T12/100)</f>
        <v>1444251606.0111194</v>
      </c>
      <c r="V12" s="82">
        <f>U12-(J12+K12)</f>
        <v>303350313.01111937</v>
      </c>
      <c r="W12" s="88">
        <v>-26056487</v>
      </c>
      <c r="X12" s="88">
        <f>V12-W12</f>
        <v>329406800.01111937</v>
      </c>
      <c r="Y12" s="100">
        <v>30.95</v>
      </c>
    </row>
    <row r="13" spans="1:25" ht="18.75" customHeight="1">
      <c r="A13" s="15" t="s">
        <v>5</v>
      </c>
      <c r="B13" s="54" t="s">
        <v>118</v>
      </c>
      <c r="C13" s="19">
        <f aca="true" t="shared" si="2" ref="C13:L13">SUM(C14:C23)</f>
        <v>1815228677</v>
      </c>
      <c r="D13" s="64">
        <f t="shared" si="2"/>
        <v>900503210</v>
      </c>
      <c r="E13" s="19">
        <f t="shared" si="2"/>
        <v>914725467</v>
      </c>
      <c r="F13" s="19">
        <f t="shared" si="2"/>
        <v>11306955</v>
      </c>
      <c r="G13" s="71">
        <f t="shared" si="2"/>
        <v>0</v>
      </c>
      <c r="H13" s="19">
        <f t="shared" si="2"/>
        <v>1803921722</v>
      </c>
      <c r="I13" s="19">
        <f t="shared" si="2"/>
        <v>1689155259</v>
      </c>
      <c r="J13" s="19">
        <f t="shared" si="2"/>
        <v>126966952</v>
      </c>
      <c r="K13" s="19">
        <f t="shared" si="2"/>
        <v>234524098</v>
      </c>
      <c r="L13" s="19">
        <f t="shared" si="2"/>
        <v>0</v>
      </c>
      <c r="M13" s="55">
        <f>H13-J13-K13-L13-SUM(N13:R13)</f>
        <v>1287418830</v>
      </c>
      <c r="N13" s="19">
        <f>SUM(N14:N23)</f>
        <v>10210589</v>
      </c>
      <c r="O13" s="19">
        <f>SUM(O14:O23)</f>
        <v>0</v>
      </c>
      <c r="P13" s="19">
        <f>SUM(P14:P23)</f>
        <v>0</v>
      </c>
      <c r="Q13" s="19">
        <f>SUM(Q14:Q23)</f>
        <v>30034790</v>
      </c>
      <c r="R13" s="19">
        <f>SUM(R14:R23)</f>
        <v>114766463</v>
      </c>
      <c r="S13" s="19">
        <f>SUM(M13:R13)</f>
        <v>1442430672</v>
      </c>
      <c r="T13" s="53">
        <f aca="true" t="shared" si="3" ref="T13:T76">IF(ISERROR((J13+K13+L13)/I13*100)=TRUE,0,(J13+K13+L13)/I13*100)</f>
        <v>21.40070002884205</v>
      </c>
      <c r="U13" s="2">
        <f>((J13+K13)*0.3125)/(T13/100)</f>
        <v>527861018.43750006</v>
      </c>
      <c r="V13" s="82">
        <f aca="true" t="shared" si="4" ref="V13:V76">U13-(J13+K13)</f>
        <v>166369968.43750006</v>
      </c>
      <c r="W13" s="88">
        <v>-3632861</v>
      </c>
      <c r="X13" s="88">
        <f>V13-W13</f>
        <v>170002829.43750006</v>
      </c>
      <c r="Y13" s="100">
        <v>31.25</v>
      </c>
    </row>
    <row r="14" spans="1:26" ht="18.75" customHeight="1">
      <c r="A14" s="14">
        <v>1</v>
      </c>
      <c r="B14" s="18" t="s">
        <v>111</v>
      </c>
      <c r="C14" s="19">
        <f aca="true" t="shared" si="5" ref="C14:C77">D14+E14</f>
        <v>77788803</v>
      </c>
      <c r="D14" s="65">
        <v>53319524</v>
      </c>
      <c r="E14" s="20">
        <v>24469279</v>
      </c>
      <c r="F14" s="20">
        <v>368400</v>
      </c>
      <c r="G14" s="72"/>
      <c r="H14" s="61">
        <f>I14+R14</f>
        <v>77420403</v>
      </c>
      <c r="I14" s="61">
        <f>SUM(J14:Q14)</f>
        <v>70244868</v>
      </c>
      <c r="J14" s="20">
        <v>10235281</v>
      </c>
      <c r="K14" s="20"/>
      <c r="L14" s="20"/>
      <c r="M14" s="59">
        <f>C14-F14-J14-K14-L14-SUM(N14:R14)</f>
        <v>52343460</v>
      </c>
      <c r="N14" s="20">
        <v>7465524</v>
      </c>
      <c r="O14" s="20">
        <v>0</v>
      </c>
      <c r="P14" s="20">
        <v>0</v>
      </c>
      <c r="Q14" s="20">
        <v>200603</v>
      </c>
      <c r="R14" s="20">
        <v>7175535</v>
      </c>
      <c r="S14" s="60">
        <f>SUM(M14:R14)</f>
        <v>67185122</v>
      </c>
      <c r="T14" s="56">
        <f t="shared" si="3"/>
        <v>14.570859468338671</v>
      </c>
      <c r="U14" s="2">
        <f aca="true" t="shared" si="6" ref="U14:U23">((J14+K14)*0.3125)/(T14/100)</f>
        <v>21951521.249999996</v>
      </c>
      <c r="V14" s="81">
        <f t="shared" si="4"/>
        <v>11716240.249999996</v>
      </c>
      <c r="W14" s="81"/>
      <c r="X14" s="81"/>
      <c r="Y14" s="99"/>
      <c r="Z14" s="2">
        <v>0</v>
      </c>
    </row>
    <row r="15" spans="1:25" ht="18.75" customHeight="1">
      <c r="A15" s="14">
        <v>2</v>
      </c>
      <c r="B15" s="18" t="s">
        <v>82</v>
      </c>
      <c r="C15" s="19">
        <f t="shared" si="5"/>
        <v>33500869</v>
      </c>
      <c r="D15" s="65">
        <v>25790314</v>
      </c>
      <c r="E15" s="20">
        <v>7710555</v>
      </c>
      <c r="F15" s="20">
        <v>106000</v>
      </c>
      <c r="G15" s="72"/>
      <c r="H15" s="61">
        <f aca="true" t="shared" si="7" ref="H15:H78">I15+R15</f>
        <v>33394869</v>
      </c>
      <c r="I15" s="61">
        <f aca="true" t="shared" si="8" ref="I15:I22">SUM(J15:Q15)</f>
        <v>30839293</v>
      </c>
      <c r="J15" s="20">
        <v>1474398</v>
      </c>
      <c r="K15" s="20">
        <v>0</v>
      </c>
      <c r="L15" s="20"/>
      <c r="M15" s="59">
        <f aca="true" t="shared" si="9" ref="M15:M78">C15-F15-J15-K15-L15-SUM(N15:R15)</f>
        <v>15184090</v>
      </c>
      <c r="N15" s="20">
        <v>0</v>
      </c>
      <c r="O15" s="20">
        <v>0</v>
      </c>
      <c r="P15" s="20">
        <v>0</v>
      </c>
      <c r="Q15" s="20">
        <v>14180805</v>
      </c>
      <c r="R15" s="20">
        <v>2555576</v>
      </c>
      <c r="S15" s="60">
        <f aca="true" t="shared" si="10" ref="S15:S78">SUM(M15:R15)</f>
        <v>31920471</v>
      </c>
      <c r="T15" s="56">
        <f t="shared" si="3"/>
        <v>4.780907266583576</v>
      </c>
      <c r="U15" s="2">
        <f t="shared" si="6"/>
        <v>9637279.0625</v>
      </c>
      <c r="V15" s="81">
        <f t="shared" si="4"/>
        <v>8162881.0625</v>
      </c>
      <c r="W15" s="81"/>
      <c r="X15" s="81"/>
      <c r="Y15" s="99"/>
    </row>
    <row r="16" spans="1:25" ht="18.75" customHeight="1">
      <c r="A16" s="14">
        <v>3</v>
      </c>
      <c r="B16" s="18" t="s">
        <v>83</v>
      </c>
      <c r="C16" s="19">
        <f t="shared" si="5"/>
        <v>642347394</v>
      </c>
      <c r="D16" s="65">
        <v>213127773</v>
      </c>
      <c r="E16" s="20">
        <v>429219621</v>
      </c>
      <c r="F16" s="20"/>
      <c r="G16" s="72"/>
      <c r="H16" s="61">
        <f t="shared" si="7"/>
        <v>642347394</v>
      </c>
      <c r="I16" s="61">
        <f t="shared" si="8"/>
        <v>633197319</v>
      </c>
      <c r="J16" s="20">
        <v>4749340</v>
      </c>
      <c r="K16" s="20">
        <v>93308538</v>
      </c>
      <c r="L16" s="20"/>
      <c r="M16" s="59">
        <f t="shared" si="9"/>
        <v>530787321</v>
      </c>
      <c r="N16" s="20">
        <v>2745065</v>
      </c>
      <c r="O16" s="20">
        <v>0</v>
      </c>
      <c r="P16" s="20">
        <v>0</v>
      </c>
      <c r="Q16" s="20">
        <v>1607055</v>
      </c>
      <c r="R16" s="20">
        <v>9150075</v>
      </c>
      <c r="S16" s="60">
        <f t="shared" si="10"/>
        <v>544289516</v>
      </c>
      <c r="T16" s="56">
        <f t="shared" si="3"/>
        <v>15.486148639236422</v>
      </c>
      <c r="U16" s="2">
        <f t="shared" si="6"/>
        <v>197874162.1875</v>
      </c>
      <c r="V16" s="81">
        <f t="shared" si="4"/>
        <v>99816284.1875</v>
      </c>
      <c r="W16" s="81"/>
      <c r="X16" s="81"/>
      <c r="Y16" s="99"/>
    </row>
    <row r="17" spans="1:25" ht="18.75" customHeight="1">
      <c r="A17" s="14">
        <v>4</v>
      </c>
      <c r="B17" s="18" t="s">
        <v>84</v>
      </c>
      <c r="C17" s="19">
        <f t="shared" si="5"/>
        <v>270835183</v>
      </c>
      <c r="D17" s="65">
        <v>269880026</v>
      </c>
      <c r="E17" s="20">
        <v>955157</v>
      </c>
      <c r="F17" s="20"/>
      <c r="G17" s="72"/>
      <c r="H17" s="61">
        <f t="shared" si="7"/>
        <v>270835183</v>
      </c>
      <c r="I17" s="61">
        <f t="shared" si="8"/>
        <v>270469560</v>
      </c>
      <c r="J17" s="20">
        <v>12516348</v>
      </c>
      <c r="K17" s="20">
        <v>119232847</v>
      </c>
      <c r="L17" s="20"/>
      <c r="M17" s="59">
        <f t="shared" si="9"/>
        <v>138720365</v>
      </c>
      <c r="N17" s="20">
        <v>0</v>
      </c>
      <c r="O17" s="20">
        <v>0</v>
      </c>
      <c r="P17" s="20">
        <v>0</v>
      </c>
      <c r="Q17" s="20">
        <v>0</v>
      </c>
      <c r="R17" s="20">
        <v>365623</v>
      </c>
      <c r="S17" s="60">
        <f t="shared" si="10"/>
        <v>139085988</v>
      </c>
      <c r="T17" s="56">
        <f t="shared" si="3"/>
        <v>48.71128381323207</v>
      </c>
      <c r="U17" s="2">
        <f t="shared" si="6"/>
        <v>84521737.5</v>
      </c>
      <c r="V17" s="81">
        <f t="shared" si="4"/>
        <v>-47227457.5</v>
      </c>
      <c r="W17" s="81"/>
      <c r="X17" s="81"/>
      <c r="Y17" s="99"/>
    </row>
    <row r="18" spans="1:26" ht="18.75" customHeight="1">
      <c r="A18" s="14">
        <v>5</v>
      </c>
      <c r="B18" s="18" t="s">
        <v>85</v>
      </c>
      <c r="C18" s="19">
        <f t="shared" si="5"/>
        <v>423547273</v>
      </c>
      <c r="D18" s="65">
        <v>199643168</v>
      </c>
      <c r="E18" s="20">
        <v>223904105</v>
      </c>
      <c r="F18" s="20">
        <v>9339389</v>
      </c>
      <c r="G18" s="72"/>
      <c r="H18" s="61">
        <f t="shared" si="7"/>
        <v>414207884</v>
      </c>
      <c r="I18" s="61">
        <f t="shared" si="8"/>
        <v>327468170</v>
      </c>
      <c r="J18" s="20">
        <v>89047926</v>
      </c>
      <c r="K18" s="20">
        <v>125000</v>
      </c>
      <c r="L18" s="20"/>
      <c r="M18" s="59">
        <f t="shared" si="9"/>
        <v>238295244</v>
      </c>
      <c r="N18" s="20">
        <v>0</v>
      </c>
      <c r="O18" s="20">
        <v>0</v>
      </c>
      <c r="P18" s="20">
        <v>0</v>
      </c>
      <c r="Q18" s="20">
        <v>0</v>
      </c>
      <c r="R18" s="20">
        <v>86739714</v>
      </c>
      <c r="S18" s="60">
        <f t="shared" si="10"/>
        <v>325034958</v>
      </c>
      <c r="T18" s="56">
        <f t="shared" si="3"/>
        <v>27.231020956937584</v>
      </c>
      <c r="U18" s="2">
        <f t="shared" si="6"/>
        <v>102333803.125</v>
      </c>
      <c r="V18" s="81">
        <f t="shared" si="4"/>
        <v>13160877.125</v>
      </c>
      <c r="W18" s="81"/>
      <c r="X18" s="81"/>
      <c r="Y18" s="99"/>
      <c r="Z18" s="2">
        <v>0</v>
      </c>
    </row>
    <row r="19" spans="1:26" ht="18.75" customHeight="1">
      <c r="A19" s="14">
        <v>6</v>
      </c>
      <c r="B19" s="18" t="s">
        <v>86</v>
      </c>
      <c r="C19" s="19">
        <f t="shared" si="5"/>
        <v>51009964</v>
      </c>
      <c r="D19" s="65">
        <v>41477270</v>
      </c>
      <c r="E19" s="20">
        <v>9532694</v>
      </c>
      <c r="F19" s="20">
        <v>1224062</v>
      </c>
      <c r="G19" s="72"/>
      <c r="H19" s="61">
        <f t="shared" si="7"/>
        <v>49785902</v>
      </c>
      <c r="I19" s="61">
        <f t="shared" si="8"/>
        <v>49595330</v>
      </c>
      <c r="J19" s="20">
        <v>1446811</v>
      </c>
      <c r="K19" s="20">
        <v>21528486</v>
      </c>
      <c r="L19" s="20"/>
      <c r="M19" s="59">
        <f t="shared" si="9"/>
        <v>12573706</v>
      </c>
      <c r="N19" s="20">
        <v>0</v>
      </c>
      <c r="O19" s="20">
        <v>0</v>
      </c>
      <c r="P19" s="20">
        <v>0</v>
      </c>
      <c r="Q19" s="20">
        <v>14046327</v>
      </c>
      <c r="R19" s="20">
        <v>190572</v>
      </c>
      <c r="S19" s="60">
        <f t="shared" si="10"/>
        <v>26810605</v>
      </c>
      <c r="T19" s="56">
        <f t="shared" si="3"/>
        <v>46.32552500406793</v>
      </c>
      <c r="U19" s="2">
        <f t="shared" si="6"/>
        <v>15498540.625</v>
      </c>
      <c r="V19" s="81">
        <f t="shared" si="4"/>
        <v>-7476756.375</v>
      </c>
      <c r="W19" s="81"/>
      <c r="X19" s="81"/>
      <c r="Y19" s="99"/>
      <c r="Z19" s="2">
        <v>0</v>
      </c>
    </row>
    <row r="20" spans="1:25" ht="18.75" customHeight="1">
      <c r="A20" s="14">
        <v>7</v>
      </c>
      <c r="B20" s="18" t="s">
        <v>87</v>
      </c>
      <c r="C20" s="19">
        <f t="shared" si="5"/>
        <v>228827195</v>
      </c>
      <c r="D20" s="65">
        <v>85955620</v>
      </c>
      <c r="E20" s="20">
        <v>142871575</v>
      </c>
      <c r="F20" s="20"/>
      <c r="G20" s="72"/>
      <c r="H20" s="61">
        <f t="shared" si="7"/>
        <v>228827195</v>
      </c>
      <c r="I20" s="61">
        <f t="shared" si="8"/>
        <v>228638126</v>
      </c>
      <c r="J20" s="20">
        <v>6318340</v>
      </c>
      <c r="K20" s="20"/>
      <c r="L20" s="20"/>
      <c r="M20" s="59">
        <f t="shared" si="9"/>
        <v>222319786</v>
      </c>
      <c r="N20" s="20">
        <v>0</v>
      </c>
      <c r="O20" s="20"/>
      <c r="P20" s="20"/>
      <c r="Q20" s="20">
        <v>0</v>
      </c>
      <c r="R20" s="20">
        <v>189069</v>
      </c>
      <c r="S20" s="60">
        <f t="shared" si="10"/>
        <v>222508855</v>
      </c>
      <c r="T20" s="56">
        <f t="shared" si="3"/>
        <v>2.763467366768043</v>
      </c>
      <c r="U20" s="2">
        <f t="shared" si="6"/>
        <v>71449414.375</v>
      </c>
      <c r="V20" s="81">
        <f t="shared" si="4"/>
        <v>65131074.375</v>
      </c>
      <c r="W20" s="81"/>
      <c r="X20" s="81"/>
      <c r="Y20" s="99"/>
    </row>
    <row r="21" spans="1:25" ht="18.75" customHeight="1">
      <c r="A21" s="14">
        <v>8</v>
      </c>
      <c r="B21" s="18" t="s">
        <v>106</v>
      </c>
      <c r="C21" s="19">
        <f>D21+E21</f>
        <v>16264686</v>
      </c>
      <c r="D21" s="65">
        <v>0</v>
      </c>
      <c r="E21" s="20">
        <v>16264686</v>
      </c>
      <c r="F21" s="20">
        <v>92550</v>
      </c>
      <c r="G21" s="72"/>
      <c r="H21" s="61">
        <f t="shared" si="7"/>
        <v>16172136</v>
      </c>
      <c r="I21" s="61">
        <f>SUM(J21:Q21)</f>
        <v>16172136</v>
      </c>
      <c r="J21" s="20">
        <v>120131</v>
      </c>
      <c r="K21" s="20"/>
      <c r="L21" s="20"/>
      <c r="M21" s="59">
        <f t="shared" si="9"/>
        <v>16052005</v>
      </c>
      <c r="N21" s="20">
        <v>0</v>
      </c>
      <c r="O21" s="20"/>
      <c r="P21" s="20"/>
      <c r="Q21" s="20"/>
      <c r="R21" s="20">
        <v>0</v>
      </c>
      <c r="S21" s="60">
        <f>SUM(M21:R21)</f>
        <v>16052005</v>
      </c>
      <c r="T21" s="56">
        <f>IF(ISERROR((J21+K21+L21)/I21*100)=TRUE,0,(J21+K21+L21)/I21*100)</f>
        <v>0.7428270452338517</v>
      </c>
      <c r="U21" s="2">
        <f t="shared" si="6"/>
        <v>5053792.499999999</v>
      </c>
      <c r="V21" s="81">
        <f t="shared" si="4"/>
        <v>4933661.499999999</v>
      </c>
      <c r="W21" s="81"/>
      <c r="X21" s="81"/>
      <c r="Y21" s="99"/>
    </row>
    <row r="22" spans="1:26" ht="18.75" customHeight="1">
      <c r="A22" s="14">
        <v>9</v>
      </c>
      <c r="B22" s="18" t="s">
        <v>88</v>
      </c>
      <c r="C22" s="19">
        <f t="shared" si="5"/>
        <v>12480918</v>
      </c>
      <c r="D22" s="65">
        <v>11309515</v>
      </c>
      <c r="E22" s="20">
        <v>1171403</v>
      </c>
      <c r="F22" s="20">
        <v>106554</v>
      </c>
      <c r="G22" s="72"/>
      <c r="H22" s="61">
        <f t="shared" si="7"/>
        <v>12374364</v>
      </c>
      <c r="I22" s="61">
        <f t="shared" si="8"/>
        <v>3974065</v>
      </c>
      <c r="J22" s="20">
        <v>946100</v>
      </c>
      <c r="K22" s="20">
        <v>329026</v>
      </c>
      <c r="L22" s="20"/>
      <c r="M22" s="59">
        <f t="shared" si="9"/>
        <v>2698939</v>
      </c>
      <c r="N22" s="20">
        <v>0</v>
      </c>
      <c r="O22" s="20">
        <v>0</v>
      </c>
      <c r="P22" s="20">
        <v>0</v>
      </c>
      <c r="Q22" s="20">
        <v>0</v>
      </c>
      <c r="R22" s="20">
        <v>8400299</v>
      </c>
      <c r="S22" s="60">
        <f t="shared" si="10"/>
        <v>11099238</v>
      </c>
      <c r="T22" s="56">
        <f t="shared" si="3"/>
        <v>32.0861888268058</v>
      </c>
      <c r="U22" s="2">
        <f t="shared" si="6"/>
        <v>1241895.3125</v>
      </c>
      <c r="V22" s="81">
        <f t="shared" si="4"/>
        <v>-33230.6875</v>
      </c>
      <c r="W22" s="81"/>
      <c r="X22" s="81"/>
      <c r="Y22" s="99"/>
      <c r="Z22" s="2">
        <v>0</v>
      </c>
    </row>
    <row r="23" spans="1:25" ht="18.75" customHeight="1">
      <c r="A23" s="14">
        <v>10</v>
      </c>
      <c r="B23" s="18" t="s">
        <v>110</v>
      </c>
      <c r="C23" s="19">
        <f>D23+E23</f>
        <v>58626392</v>
      </c>
      <c r="D23" s="65">
        <v>0</v>
      </c>
      <c r="E23" s="20">
        <v>58626392</v>
      </c>
      <c r="F23" s="20">
        <v>70000</v>
      </c>
      <c r="G23" s="72"/>
      <c r="H23" s="61">
        <f>I23+R23</f>
        <v>58556392</v>
      </c>
      <c r="I23" s="61">
        <f>SUM(J23:Q23)</f>
        <v>58556392</v>
      </c>
      <c r="J23" s="20">
        <v>112277</v>
      </c>
      <c r="K23" s="20">
        <v>201</v>
      </c>
      <c r="L23" s="20"/>
      <c r="M23" s="59">
        <f>C23-F23-J23-K23-L23-SUM(N23:R23)</f>
        <v>58443914</v>
      </c>
      <c r="N23" s="20">
        <v>0</v>
      </c>
      <c r="O23" s="20"/>
      <c r="P23" s="20"/>
      <c r="Q23" s="20"/>
      <c r="R23" s="20">
        <v>0</v>
      </c>
      <c r="S23" s="60">
        <f>SUM(M23:R23)</f>
        <v>58443914</v>
      </c>
      <c r="T23" s="56">
        <f>IF(ISERROR((J23+K23+L23)/I23*100)=TRUE,0,(J23+K23+L23)/I23*100)</f>
        <v>0.19208492217211742</v>
      </c>
      <c r="U23" s="2">
        <f t="shared" si="6"/>
        <v>18298872.5</v>
      </c>
      <c r="V23" s="81">
        <f t="shared" si="4"/>
        <v>18186394.5</v>
      </c>
      <c r="W23" s="81"/>
      <c r="X23" s="81"/>
      <c r="Y23" s="99"/>
    </row>
    <row r="24" spans="1:26" ht="27" customHeight="1">
      <c r="A24" s="15" t="s">
        <v>34</v>
      </c>
      <c r="B24" s="54" t="s">
        <v>117</v>
      </c>
      <c r="C24" s="19">
        <f>SUM(C25:C31)</f>
        <v>732552692</v>
      </c>
      <c r="D24" s="64">
        <f aca="true" t="shared" si="11" ref="D24:N24">SUM(D25:D31)</f>
        <v>527219991</v>
      </c>
      <c r="E24" s="19">
        <f t="shared" si="11"/>
        <v>205332701</v>
      </c>
      <c r="F24" s="19">
        <f t="shared" si="11"/>
        <v>16397985</v>
      </c>
      <c r="G24" s="71">
        <f t="shared" si="11"/>
        <v>498856065</v>
      </c>
      <c r="H24" s="19">
        <f t="shared" si="11"/>
        <v>716154707</v>
      </c>
      <c r="I24" s="19">
        <f t="shared" si="11"/>
        <v>683041318</v>
      </c>
      <c r="J24" s="19">
        <f t="shared" si="11"/>
        <v>91311767</v>
      </c>
      <c r="K24" s="19">
        <f t="shared" si="11"/>
        <v>41755936</v>
      </c>
      <c r="L24" s="19">
        <f t="shared" si="11"/>
        <v>0</v>
      </c>
      <c r="M24" s="55">
        <f>H24-J24-K24-L24-SUM(N24:R24)</f>
        <v>404055977</v>
      </c>
      <c r="N24" s="19">
        <f t="shared" si="11"/>
        <v>106576057</v>
      </c>
      <c r="O24" s="19">
        <f>SUM(O25:O31)</f>
        <v>8874232</v>
      </c>
      <c r="P24" s="19">
        <f>SUM(P25:P31)</f>
        <v>0</v>
      </c>
      <c r="Q24" s="19">
        <f>SUM(Q25:Q31)</f>
        <v>30467349</v>
      </c>
      <c r="R24" s="19">
        <f>SUM(R25:R31)</f>
        <v>33113389</v>
      </c>
      <c r="S24" s="19">
        <f>SUM(S25:S31)</f>
        <v>583087004</v>
      </c>
      <c r="T24" s="53">
        <f t="shared" si="3"/>
        <v>19.48164766805513</v>
      </c>
      <c r="U24" s="2">
        <f>((J24+K24)*0.305)/(T24/100)</f>
        <v>208327601.98999998</v>
      </c>
      <c r="V24" s="82">
        <f t="shared" si="4"/>
        <v>75259898.98999998</v>
      </c>
      <c r="W24" s="88">
        <v>-3181630</v>
      </c>
      <c r="X24" s="88">
        <f>V24-W24</f>
        <v>78441528.98999998</v>
      </c>
      <c r="Y24" s="100">
        <v>30.5</v>
      </c>
      <c r="Z24" s="2" t="s">
        <v>133</v>
      </c>
    </row>
    <row r="25" spans="1:25" ht="18.75" customHeight="1">
      <c r="A25" s="14">
        <v>11</v>
      </c>
      <c r="B25" s="18" t="s">
        <v>89</v>
      </c>
      <c r="C25" s="19">
        <f t="shared" si="5"/>
        <v>104713219</v>
      </c>
      <c r="D25" s="65">
        <v>80190808</v>
      </c>
      <c r="E25" s="20">
        <v>24522411</v>
      </c>
      <c r="F25" s="20">
        <v>5929902</v>
      </c>
      <c r="G25" s="72">
        <v>0</v>
      </c>
      <c r="H25" s="61">
        <f t="shared" si="7"/>
        <v>98783317</v>
      </c>
      <c r="I25" s="61">
        <f>SUM(J25:Q25)</f>
        <v>91040170</v>
      </c>
      <c r="J25" s="20">
        <v>25926089</v>
      </c>
      <c r="K25" s="20">
        <v>1076076</v>
      </c>
      <c r="L25" s="20">
        <v>0</v>
      </c>
      <c r="M25" s="59">
        <f t="shared" si="9"/>
        <v>41808809</v>
      </c>
      <c r="N25" s="20">
        <v>0</v>
      </c>
      <c r="O25" s="20">
        <v>0</v>
      </c>
      <c r="P25" s="20">
        <v>0</v>
      </c>
      <c r="Q25" s="20">
        <v>22229196</v>
      </c>
      <c r="R25" s="20">
        <v>7743147</v>
      </c>
      <c r="S25" s="60">
        <f t="shared" si="10"/>
        <v>71781152</v>
      </c>
      <c r="T25" s="56">
        <f t="shared" si="3"/>
        <v>29.659616189205266</v>
      </c>
      <c r="U25" s="2">
        <f aca="true" t="shared" si="12" ref="U25:U31">((J25+K25)*0.305)/(T25/100)</f>
        <v>27767251.85</v>
      </c>
      <c r="V25" s="81">
        <f t="shared" si="4"/>
        <v>765086.8500000015</v>
      </c>
      <c r="W25" s="81"/>
      <c r="X25" s="81"/>
      <c r="Y25" s="99"/>
    </row>
    <row r="26" spans="1:25" ht="18.75" customHeight="1">
      <c r="A26" s="14">
        <v>12</v>
      </c>
      <c r="B26" s="18" t="s">
        <v>112</v>
      </c>
      <c r="C26" s="19">
        <f t="shared" si="5"/>
        <v>120022274</v>
      </c>
      <c r="D26" s="65">
        <v>106629820</v>
      </c>
      <c r="E26" s="20">
        <v>13392454</v>
      </c>
      <c r="F26" s="20">
        <v>1298550</v>
      </c>
      <c r="G26" s="72">
        <v>10997152</v>
      </c>
      <c r="H26" s="61">
        <f t="shared" si="7"/>
        <v>118723724</v>
      </c>
      <c r="I26" s="61">
        <f aca="true" t="shared" si="13" ref="I26:I31">SUM(J26:Q26)</f>
        <v>117463709</v>
      </c>
      <c r="J26" s="20">
        <v>5730326</v>
      </c>
      <c r="K26" s="20">
        <v>4194616</v>
      </c>
      <c r="L26" s="20">
        <v>0</v>
      </c>
      <c r="M26" s="59">
        <f t="shared" si="9"/>
        <v>49170501</v>
      </c>
      <c r="N26" s="20">
        <v>49494034</v>
      </c>
      <c r="O26" s="20">
        <v>8874232</v>
      </c>
      <c r="P26" s="20">
        <v>0</v>
      </c>
      <c r="Q26" s="20">
        <v>0</v>
      </c>
      <c r="R26" s="20">
        <v>1260015</v>
      </c>
      <c r="S26" s="60">
        <f t="shared" si="10"/>
        <v>108798782</v>
      </c>
      <c r="T26" s="56">
        <f t="shared" si="3"/>
        <v>8.449368817393635</v>
      </c>
      <c r="U26" s="2">
        <f t="shared" si="12"/>
        <v>35826431.245</v>
      </c>
      <c r="V26" s="81">
        <f t="shared" si="4"/>
        <v>25901489.244999997</v>
      </c>
      <c r="W26" s="81"/>
      <c r="X26" s="81"/>
      <c r="Y26" s="99"/>
    </row>
    <row r="27" spans="1:25" ht="18.75" customHeight="1">
      <c r="A27" s="14">
        <v>13</v>
      </c>
      <c r="B27" s="18" t="s">
        <v>90</v>
      </c>
      <c r="C27" s="19">
        <f t="shared" si="5"/>
        <v>111972833</v>
      </c>
      <c r="D27" s="65">
        <v>77689541</v>
      </c>
      <c r="E27" s="20">
        <v>34283292</v>
      </c>
      <c r="F27" s="20">
        <v>62350</v>
      </c>
      <c r="G27" s="72">
        <v>69681247</v>
      </c>
      <c r="H27" s="61">
        <f t="shared" si="7"/>
        <v>111910483</v>
      </c>
      <c r="I27" s="61">
        <f t="shared" si="13"/>
        <v>99362293</v>
      </c>
      <c r="J27" s="20">
        <v>19713979</v>
      </c>
      <c r="K27" s="20">
        <v>5471551</v>
      </c>
      <c r="L27" s="20">
        <v>0</v>
      </c>
      <c r="M27" s="59">
        <f t="shared" si="9"/>
        <v>66497612</v>
      </c>
      <c r="N27" s="20">
        <v>5988985</v>
      </c>
      <c r="O27" s="20">
        <v>0</v>
      </c>
      <c r="P27" s="20">
        <v>0</v>
      </c>
      <c r="Q27" s="20">
        <v>1690166</v>
      </c>
      <c r="R27" s="20">
        <v>12548190</v>
      </c>
      <c r="S27" s="60">
        <f t="shared" si="10"/>
        <v>86724953</v>
      </c>
      <c r="T27" s="56">
        <f t="shared" si="3"/>
        <v>25.3471706817394</v>
      </c>
      <c r="U27" s="2">
        <f t="shared" si="12"/>
        <v>30305499.365</v>
      </c>
      <c r="V27" s="81">
        <f t="shared" si="4"/>
        <v>5119969.364999998</v>
      </c>
      <c r="W27" s="81"/>
      <c r="X27" s="81"/>
      <c r="Y27" s="99"/>
    </row>
    <row r="28" spans="1:25" ht="18.75" customHeight="1">
      <c r="A28" s="14">
        <v>14</v>
      </c>
      <c r="B28" s="18" t="s">
        <v>91</v>
      </c>
      <c r="C28" s="19">
        <f t="shared" si="5"/>
        <v>14301696</v>
      </c>
      <c r="D28" s="65">
        <v>7778820</v>
      </c>
      <c r="E28" s="20">
        <v>6522876</v>
      </c>
      <c r="F28" s="20">
        <v>3996489</v>
      </c>
      <c r="G28" s="72">
        <v>0</v>
      </c>
      <c r="H28" s="61">
        <f t="shared" si="7"/>
        <v>10305207</v>
      </c>
      <c r="I28" s="61">
        <f t="shared" si="13"/>
        <v>9369247</v>
      </c>
      <c r="J28" s="20">
        <v>6962396</v>
      </c>
      <c r="K28" s="20">
        <v>2406851</v>
      </c>
      <c r="L28" s="20">
        <v>0</v>
      </c>
      <c r="M28" s="59">
        <f t="shared" si="9"/>
        <v>0</v>
      </c>
      <c r="N28" s="20">
        <v>0</v>
      </c>
      <c r="O28" s="20">
        <v>0</v>
      </c>
      <c r="P28" s="20">
        <v>0</v>
      </c>
      <c r="Q28" s="20">
        <v>0</v>
      </c>
      <c r="R28" s="20">
        <v>935960</v>
      </c>
      <c r="S28" s="60">
        <f t="shared" si="10"/>
        <v>935960</v>
      </c>
      <c r="T28" s="56">
        <f t="shared" si="3"/>
        <v>100</v>
      </c>
      <c r="U28" s="2">
        <f t="shared" si="12"/>
        <v>2857620.335</v>
      </c>
      <c r="V28" s="81">
        <f t="shared" si="4"/>
        <v>-6511626.665</v>
      </c>
      <c r="W28" s="81"/>
      <c r="X28" s="81"/>
      <c r="Y28" s="99"/>
    </row>
    <row r="29" spans="1:25" ht="18.75" customHeight="1">
      <c r="A29" s="14">
        <v>15</v>
      </c>
      <c r="B29" s="18" t="s">
        <v>120</v>
      </c>
      <c r="C29" s="19">
        <f t="shared" si="5"/>
        <v>166375067</v>
      </c>
      <c r="D29" s="65">
        <v>109415150</v>
      </c>
      <c r="E29" s="20">
        <v>56959917</v>
      </c>
      <c r="F29" s="20">
        <v>193265</v>
      </c>
      <c r="G29" s="72">
        <v>418177666</v>
      </c>
      <c r="H29" s="61">
        <f t="shared" si="7"/>
        <v>166181802</v>
      </c>
      <c r="I29" s="61">
        <f t="shared" si="13"/>
        <v>162113867</v>
      </c>
      <c r="J29" s="20">
        <v>16260044</v>
      </c>
      <c r="K29" s="20">
        <v>7501046</v>
      </c>
      <c r="L29" s="20">
        <v>0</v>
      </c>
      <c r="M29" s="59">
        <f t="shared" si="9"/>
        <v>131703584</v>
      </c>
      <c r="N29" s="20">
        <v>331427</v>
      </c>
      <c r="O29" s="20">
        <v>0</v>
      </c>
      <c r="P29" s="20">
        <v>0</v>
      </c>
      <c r="Q29" s="20">
        <v>6317766</v>
      </c>
      <c r="R29" s="20">
        <v>4067935</v>
      </c>
      <c r="S29" s="60">
        <f t="shared" si="10"/>
        <v>142420712</v>
      </c>
      <c r="T29" s="56">
        <f t="shared" si="3"/>
        <v>14.65703732796652</v>
      </c>
      <c r="U29" s="2">
        <f t="shared" si="12"/>
        <v>49444729.435</v>
      </c>
      <c r="V29" s="81">
        <f t="shared" si="4"/>
        <v>25683639.435000002</v>
      </c>
      <c r="W29" s="81"/>
      <c r="X29" s="81"/>
      <c r="Y29" s="99"/>
    </row>
    <row r="30" spans="1:25" ht="18.75" customHeight="1">
      <c r="A30" s="14">
        <v>16</v>
      </c>
      <c r="B30" s="18" t="s">
        <v>92</v>
      </c>
      <c r="C30" s="19">
        <f t="shared" si="5"/>
        <v>97962999</v>
      </c>
      <c r="D30" s="65">
        <v>69942951</v>
      </c>
      <c r="E30" s="20">
        <v>28020048</v>
      </c>
      <c r="F30" s="20">
        <v>4819073</v>
      </c>
      <c r="G30" s="72">
        <v>0</v>
      </c>
      <c r="H30" s="61">
        <f t="shared" si="7"/>
        <v>93143926</v>
      </c>
      <c r="I30" s="61">
        <f t="shared" si="13"/>
        <v>90122804</v>
      </c>
      <c r="J30" s="20">
        <v>6581197</v>
      </c>
      <c r="K30" s="20">
        <v>1426576</v>
      </c>
      <c r="L30" s="20">
        <v>0</v>
      </c>
      <c r="M30" s="59">
        <f t="shared" si="9"/>
        <v>72967341</v>
      </c>
      <c r="N30" s="20">
        <v>9091417</v>
      </c>
      <c r="O30" s="20">
        <v>0</v>
      </c>
      <c r="P30" s="20">
        <v>0</v>
      </c>
      <c r="Q30" s="20">
        <v>56273</v>
      </c>
      <c r="R30" s="20">
        <v>3021122</v>
      </c>
      <c r="S30" s="60">
        <f t="shared" si="10"/>
        <v>85136153</v>
      </c>
      <c r="T30" s="56">
        <f t="shared" si="3"/>
        <v>8.885401523902873</v>
      </c>
      <c r="U30" s="2">
        <f t="shared" si="12"/>
        <v>27487455.220000003</v>
      </c>
      <c r="V30" s="81">
        <f t="shared" si="4"/>
        <v>19479682.220000003</v>
      </c>
      <c r="W30" s="81"/>
      <c r="X30" s="81"/>
      <c r="Y30" s="99"/>
    </row>
    <row r="31" spans="1:25" ht="18.75" customHeight="1">
      <c r="A31" s="14">
        <v>17</v>
      </c>
      <c r="B31" s="18" t="s">
        <v>93</v>
      </c>
      <c r="C31" s="19">
        <f t="shared" si="5"/>
        <v>117204604</v>
      </c>
      <c r="D31" s="65">
        <v>75572901</v>
      </c>
      <c r="E31" s="20">
        <v>41631703</v>
      </c>
      <c r="F31" s="20">
        <v>98356</v>
      </c>
      <c r="G31" s="72">
        <v>0</v>
      </c>
      <c r="H31" s="61">
        <f t="shared" si="7"/>
        <v>117106248</v>
      </c>
      <c r="I31" s="61">
        <f t="shared" si="13"/>
        <v>113569228</v>
      </c>
      <c r="J31" s="20">
        <v>10137736</v>
      </c>
      <c r="K31" s="20">
        <v>19679220</v>
      </c>
      <c r="L31" s="20">
        <v>0</v>
      </c>
      <c r="M31" s="59">
        <f t="shared" si="9"/>
        <v>41908130</v>
      </c>
      <c r="N31" s="20">
        <v>41670194</v>
      </c>
      <c r="O31" s="20">
        <v>0</v>
      </c>
      <c r="P31" s="20">
        <v>0</v>
      </c>
      <c r="Q31" s="20">
        <v>173948</v>
      </c>
      <c r="R31" s="20">
        <v>3537020</v>
      </c>
      <c r="S31" s="60">
        <f t="shared" si="10"/>
        <v>87289292</v>
      </c>
      <c r="T31" s="56">
        <f t="shared" si="3"/>
        <v>26.254432230533432</v>
      </c>
      <c r="U31" s="2">
        <f t="shared" si="12"/>
        <v>34638614.54</v>
      </c>
      <c r="V31" s="81">
        <f t="shared" si="4"/>
        <v>4821658.539999999</v>
      </c>
      <c r="W31" s="81"/>
      <c r="X31" s="81"/>
      <c r="Y31" s="99"/>
    </row>
    <row r="32" spans="1:26" ht="26.25" customHeight="1">
      <c r="A32" s="15" t="s">
        <v>35</v>
      </c>
      <c r="B32" s="54" t="s">
        <v>36</v>
      </c>
      <c r="C32" s="19">
        <f aca="true" t="shared" si="14" ref="C32:L32">SUM(C33:C39)</f>
        <v>514540272</v>
      </c>
      <c r="D32" s="64">
        <f t="shared" si="14"/>
        <v>268580680</v>
      </c>
      <c r="E32" s="19">
        <f t="shared" si="14"/>
        <v>245959592</v>
      </c>
      <c r="F32" s="19">
        <f t="shared" si="14"/>
        <v>67987701</v>
      </c>
      <c r="G32" s="71">
        <f t="shared" si="14"/>
        <v>4665066</v>
      </c>
      <c r="H32" s="19">
        <f t="shared" si="14"/>
        <v>446552571</v>
      </c>
      <c r="I32" s="19">
        <f t="shared" si="14"/>
        <v>378921551</v>
      </c>
      <c r="J32" s="19">
        <f t="shared" si="14"/>
        <v>81827367</v>
      </c>
      <c r="K32" s="19">
        <f t="shared" si="14"/>
        <v>12780102</v>
      </c>
      <c r="L32" s="19">
        <f t="shared" si="14"/>
        <v>0</v>
      </c>
      <c r="M32" s="55">
        <f>H32-J32-K32-L32-SUM(N32:R32)</f>
        <v>275159185</v>
      </c>
      <c r="N32" s="19">
        <f aca="true" t="shared" si="15" ref="N32:S32">SUM(N33:N39)</f>
        <v>8185824</v>
      </c>
      <c r="O32" s="19">
        <f t="shared" si="15"/>
        <v>0</v>
      </c>
      <c r="P32" s="19">
        <f t="shared" si="15"/>
        <v>0</v>
      </c>
      <c r="Q32" s="19">
        <f t="shared" si="15"/>
        <v>969073</v>
      </c>
      <c r="R32" s="19">
        <f t="shared" si="15"/>
        <v>67631020</v>
      </c>
      <c r="S32" s="19">
        <f t="shared" si="15"/>
        <v>351945102</v>
      </c>
      <c r="T32" s="53">
        <f t="shared" si="3"/>
        <v>24.96756089758537</v>
      </c>
      <c r="U32" s="2">
        <f>((J32+K32)*0.305)/(T32/100)</f>
        <v>115571073.05499999</v>
      </c>
      <c r="V32" s="82">
        <f t="shared" si="4"/>
        <v>20963604.054999992</v>
      </c>
      <c r="W32" s="88">
        <v>-3867761</v>
      </c>
      <c r="X32" s="88">
        <f>V32-W32</f>
        <v>24831365.054999992</v>
      </c>
      <c r="Y32" s="100">
        <v>30.5</v>
      </c>
      <c r="Z32" s="2" t="s">
        <v>133</v>
      </c>
    </row>
    <row r="33" spans="1:25" ht="18.75" customHeight="1">
      <c r="A33" s="14">
        <v>18</v>
      </c>
      <c r="B33" s="18" t="s">
        <v>39</v>
      </c>
      <c r="C33" s="19">
        <f t="shared" si="5"/>
        <v>13595616</v>
      </c>
      <c r="D33" s="65">
        <v>5919603</v>
      </c>
      <c r="E33" s="20">
        <v>7676013</v>
      </c>
      <c r="F33" s="20">
        <v>1500</v>
      </c>
      <c r="G33" s="72"/>
      <c r="H33" s="61">
        <f t="shared" si="7"/>
        <v>13594116</v>
      </c>
      <c r="I33" s="61">
        <f aca="true" t="shared" si="16" ref="I33:I38">SUM(J33:Q33)</f>
        <v>13149510</v>
      </c>
      <c r="J33" s="20">
        <v>3644998</v>
      </c>
      <c r="K33" s="20">
        <v>306413</v>
      </c>
      <c r="L33" s="20"/>
      <c r="M33" s="59">
        <f t="shared" si="9"/>
        <v>9189802</v>
      </c>
      <c r="N33" s="20">
        <v>8297</v>
      </c>
      <c r="O33" s="20"/>
      <c r="P33" s="20"/>
      <c r="Q33" s="20">
        <v>0</v>
      </c>
      <c r="R33" s="20">
        <v>444606</v>
      </c>
      <c r="S33" s="60">
        <f t="shared" si="10"/>
        <v>9642705</v>
      </c>
      <c r="T33" s="56">
        <f t="shared" si="3"/>
        <v>30.049872580803388</v>
      </c>
      <c r="U33" s="2">
        <f aca="true" t="shared" si="17" ref="U33:U39">((J33+K33)*0.305)/(T33/100)</f>
        <v>4010600.5500000003</v>
      </c>
      <c r="V33" s="81">
        <f t="shared" si="4"/>
        <v>59189.55000000028</v>
      </c>
      <c r="W33" s="81"/>
      <c r="X33" s="81"/>
      <c r="Y33" s="99"/>
    </row>
    <row r="34" spans="1:25" ht="18.75" customHeight="1">
      <c r="A34" s="14">
        <v>19</v>
      </c>
      <c r="B34" s="18" t="s">
        <v>40</v>
      </c>
      <c r="C34" s="19">
        <f t="shared" si="5"/>
        <v>95376807</v>
      </c>
      <c r="D34" s="65">
        <v>29222934</v>
      </c>
      <c r="E34" s="20">
        <v>66153873</v>
      </c>
      <c r="F34" s="20">
        <v>7664474</v>
      </c>
      <c r="G34" s="72">
        <v>4665066</v>
      </c>
      <c r="H34" s="61">
        <f t="shared" si="7"/>
        <v>87712333</v>
      </c>
      <c r="I34" s="61">
        <f t="shared" si="16"/>
        <v>85730185</v>
      </c>
      <c r="J34" s="20">
        <v>12371094</v>
      </c>
      <c r="K34" s="20">
        <v>333009</v>
      </c>
      <c r="L34" s="20"/>
      <c r="M34" s="59">
        <f t="shared" si="9"/>
        <v>72486296</v>
      </c>
      <c r="N34" s="20">
        <v>290728</v>
      </c>
      <c r="O34" s="20">
        <v>0</v>
      </c>
      <c r="P34" s="20"/>
      <c r="Q34" s="20">
        <v>249058</v>
      </c>
      <c r="R34" s="20">
        <v>1982148</v>
      </c>
      <c r="S34" s="60">
        <f t="shared" si="10"/>
        <v>75008230</v>
      </c>
      <c r="T34" s="56">
        <f t="shared" si="3"/>
        <v>14.818704753757384</v>
      </c>
      <c r="U34" s="2">
        <f t="shared" si="17"/>
        <v>26147706.425</v>
      </c>
      <c r="V34" s="81">
        <f t="shared" si="4"/>
        <v>13443603.425</v>
      </c>
      <c r="W34" s="81"/>
      <c r="X34" s="81"/>
      <c r="Y34" s="99"/>
    </row>
    <row r="35" spans="1:25" ht="18.75" customHeight="1">
      <c r="A35" s="14">
        <v>20</v>
      </c>
      <c r="B35" s="18" t="s">
        <v>41</v>
      </c>
      <c r="C35" s="19">
        <f t="shared" si="5"/>
        <v>157785608</v>
      </c>
      <c r="D35" s="65">
        <v>86212659</v>
      </c>
      <c r="E35" s="20">
        <v>71572949</v>
      </c>
      <c r="F35" s="20">
        <v>43125679</v>
      </c>
      <c r="G35" s="72"/>
      <c r="H35" s="61">
        <f t="shared" si="7"/>
        <v>114659929</v>
      </c>
      <c r="I35" s="61">
        <f t="shared" si="16"/>
        <v>110095521</v>
      </c>
      <c r="J35" s="20">
        <v>14212307</v>
      </c>
      <c r="K35" s="20">
        <v>662032</v>
      </c>
      <c r="L35" s="20"/>
      <c r="M35" s="59">
        <f t="shared" si="9"/>
        <v>90852825</v>
      </c>
      <c r="N35" s="20">
        <v>3648342</v>
      </c>
      <c r="O35" s="20">
        <v>0</v>
      </c>
      <c r="P35" s="20"/>
      <c r="Q35" s="20">
        <v>720015</v>
      </c>
      <c r="R35" s="20">
        <v>4564408</v>
      </c>
      <c r="S35" s="60">
        <f t="shared" si="10"/>
        <v>99785590</v>
      </c>
      <c r="T35" s="56">
        <f t="shared" si="3"/>
        <v>13.510394305686605</v>
      </c>
      <c r="U35" s="2">
        <f t="shared" si="17"/>
        <v>33579133.904999994</v>
      </c>
      <c r="V35" s="81">
        <f t="shared" si="4"/>
        <v>18704794.904999994</v>
      </c>
      <c r="W35" s="81"/>
      <c r="X35" s="81"/>
      <c r="Y35" s="99"/>
    </row>
    <row r="36" spans="1:25" ht="18.75" customHeight="1">
      <c r="A36" s="14">
        <v>21</v>
      </c>
      <c r="B36" s="18" t="s">
        <v>42</v>
      </c>
      <c r="C36" s="19">
        <f t="shared" si="5"/>
        <v>60736072</v>
      </c>
      <c r="D36" s="65">
        <v>38785990</v>
      </c>
      <c r="E36" s="20">
        <v>21950082</v>
      </c>
      <c r="F36" s="20">
        <v>6524196</v>
      </c>
      <c r="G36" s="72"/>
      <c r="H36" s="61">
        <f t="shared" si="7"/>
        <v>54211876</v>
      </c>
      <c r="I36" s="61">
        <f t="shared" si="16"/>
        <v>47752189</v>
      </c>
      <c r="J36" s="20">
        <v>8949014</v>
      </c>
      <c r="K36" s="20">
        <v>1471828</v>
      </c>
      <c r="L36" s="20"/>
      <c r="M36" s="59">
        <f t="shared" si="9"/>
        <v>37331347</v>
      </c>
      <c r="N36" s="20">
        <v>0</v>
      </c>
      <c r="O36" s="20"/>
      <c r="P36" s="20"/>
      <c r="Q36" s="20"/>
      <c r="R36" s="20">
        <v>6459687</v>
      </c>
      <c r="S36" s="60">
        <f t="shared" si="10"/>
        <v>43791034</v>
      </c>
      <c r="T36" s="56">
        <f t="shared" si="3"/>
        <v>21.822752460625416</v>
      </c>
      <c r="U36" s="2">
        <f t="shared" si="17"/>
        <v>14564417.645000001</v>
      </c>
      <c r="V36" s="81">
        <f t="shared" si="4"/>
        <v>4143575.6450000014</v>
      </c>
      <c r="W36" s="81"/>
      <c r="X36" s="81"/>
      <c r="Y36" s="99"/>
    </row>
    <row r="37" spans="1:25" ht="18.75" customHeight="1">
      <c r="A37" s="14">
        <v>22</v>
      </c>
      <c r="B37" s="18" t="s">
        <v>43</v>
      </c>
      <c r="C37" s="19">
        <f t="shared" si="5"/>
        <v>96225945</v>
      </c>
      <c r="D37" s="65">
        <v>56400475</v>
      </c>
      <c r="E37" s="20">
        <v>39825470</v>
      </c>
      <c r="F37" s="20">
        <v>275341</v>
      </c>
      <c r="G37" s="72"/>
      <c r="H37" s="61">
        <f t="shared" si="7"/>
        <v>95950604</v>
      </c>
      <c r="I37" s="61">
        <f t="shared" si="16"/>
        <v>64339509</v>
      </c>
      <c r="J37" s="20">
        <v>25129432</v>
      </c>
      <c r="K37" s="20">
        <v>4421485</v>
      </c>
      <c r="L37" s="20"/>
      <c r="M37" s="59">
        <f t="shared" si="9"/>
        <v>34122482</v>
      </c>
      <c r="N37" s="20">
        <v>666110</v>
      </c>
      <c r="O37" s="20"/>
      <c r="P37" s="20"/>
      <c r="Q37" s="20"/>
      <c r="R37" s="20">
        <v>31611095</v>
      </c>
      <c r="S37" s="60">
        <f t="shared" si="10"/>
        <v>66399687</v>
      </c>
      <c r="T37" s="56">
        <f t="shared" si="3"/>
        <v>45.929658866374</v>
      </c>
      <c r="U37" s="2">
        <f t="shared" si="17"/>
        <v>19623550.245000005</v>
      </c>
      <c r="V37" s="81">
        <f t="shared" si="4"/>
        <v>-9927366.754999995</v>
      </c>
      <c r="W37" s="81"/>
      <c r="X37" s="81"/>
      <c r="Y37" s="99"/>
    </row>
    <row r="38" spans="1:25" ht="18.75" customHeight="1">
      <c r="A38" s="14">
        <v>23</v>
      </c>
      <c r="B38" s="18" t="s">
        <v>44</v>
      </c>
      <c r="C38" s="19">
        <f t="shared" si="5"/>
        <v>35528180</v>
      </c>
      <c r="D38" s="65">
        <v>25351088</v>
      </c>
      <c r="E38" s="20">
        <v>10177092</v>
      </c>
      <c r="F38" s="20">
        <v>488440</v>
      </c>
      <c r="G38" s="72"/>
      <c r="H38" s="61">
        <f t="shared" si="7"/>
        <v>35039740</v>
      </c>
      <c r="I38" s="61">
        <f t="shared" si="16"/>
        <v>32521274</v>
      </c>
      <c r="J38" s="20">
        <v>10564525</v>
      </c>
      <c r="K38" s="20">
        <v>396758</v>
      </c>
      <c r="L38" s="20"/>
      <c r="M38" s="59">
        <f t="shared" si="9"/>
        <v>21500491</v>
      </c>
      <c r="N38" s="20">
        <v>59500</v>
      </c>
      <c r="O38" s="20"/>
      <c r="P38" s="20"/>
      <c r="Q38" s="20"/>
      <c r="R38" s="20">
        <v>2518466</v>
      </c>
      <c r="S38" s="60">
        <f t="shared" si="10"/>
        <v>24078457</v>
      </c>
      <c r="T38" s="56">
        <f t="shared" si="3"/>
        <v>33.70496186588508</v>
      </c>
      <c r="U38" s="2">
        <f t="shared" si="17"/>
        <v>9918988.57</v>
      </c>
      <c r="V38" s="81">
        <f t="shared" si="4"/>
        <v>-1042294.4299999997</v>
      </c>
      <c r="W38" s="81"/>
      <c r="X38" s="81"/>
      <c r="Y38" s="99"/>
    </row>
    <row r="39" spans="1:25" ht="18.75" customHeight="1">
      <c r="A39" s="14">
        <v>24</v>
      </c>
      <c r="B39" s="18" t="s">
        <v>119</v>
      </c>
      <c r="C39" s="19">
        <f>D39+E39</f>
        <v>55292044</v>
      </c>
      <c r="D39" s="65">
        <v>26687931</v>
      </c>
      <c r="E39" s="20">
        <v>28604113</v>
      </c>
      <c r="F39" s="20">
        <v>9908071</v>
      </c>
      <c r="G39" s="72"/>
      <c r="H39" s="61">
        <f>I39+R39</f>
        <v>45383973</v>
      </c>
      <c r="I39" s="61">
        <f>SUM(J39:Q39)</f>
        <v>25333363</v>
      </c>
      <c r="J39" s="20">
        <v>6955997</v>
      </c>
      <c r="K39" s="20">
        <v>5188577</v>
      </c>
      <c r="L39" s="20"/>
      <c r="M39" s="59">
        <f>C39-F39-J39-K39-L39-SUM(N39:R39)</f>
        <v>9675942</v>
      </c>
      <c r="N39" s="20">
        <v>3512847</v>
      </c>
      <c r="O39" s="20"/>
      <c r="P39" s="20"/>
      <c r="Q39" s="20"/>
      <c r="R39" s="20">
        <v>20050610</v>
      </c>
      <c r="S39" s="60">
        <f>SUM(M39:R39)</f>
        <v>33239399</v>
      </c>
      <c r="T39" s="56">
        <f>IF(ISERROR((J39+K39+L39)/I39*100)=TRUE,0,(J39+K39+L39)/I39*100)</f>
        <v>47.93905175558413</v>
      </c>
      <c r="U39" s="2">
        <f t="shared" si="17"/>
        <v>7726675.714999999</v>
      </c>
      <c r="V39" s="81">
        <f t="shared" si="4"/>
        <v>-4417898.285000001</v>
      </c>
      <c r="W39" s="81"/>
      <c r="X39" s="81"/>
      <c r="Y39" s="99"/>
    </row>
    <row r="40" spans="1:26" ht="18.75" customHeight="1">
      <c r="A40" s="15" t="s">
        <v>37</v>
      </c>
      <c r="B40" s="54" t="s">
        <v>109</v>
      </c>
      <c r="C40" s="19">
        <f>SUM(C41:C49)</f>
        <v>874900845</v>
      </c>
      <c r="D40" s="64">
        <f aca="true" t="shared" si="18" ref="D40:N40">SUM(D41:D49)</f>
        <v>582044683</v>
      </c>
      <c r="E40" s="19">
        <f t="shared" si="18"/>
        <v>292856162</v>
      </c>
      <c r="F40" s="19">
        <f t="shared" si="18"/>
        <v>25244938</v>
      </c>
      <c r="G40" s="71">
        <f t="shared" si="18"/>
        <v>62962883</v>
      </c>
      <c r="H40" s="19">
        <f t="shared" si="18"/>
        <v>849655907</v>
      </c>
      <c r="I40" s="19">
        <f t="shared" si="18"/>
        <v>721559748</v>
      </c>
      <c r="J40" s="19">
        <f t="shared" si="18"/>
        <v>189892825</v>
      </c>
      <c r="K40" s="19">
        <f t="shared" si="18"/>
        <v>42836850</v>
      </c>
      <c r="L40" s="19">
        <f t="shared" si="18"/>
        <v>0</v>
      </c>
      <c r="M40" s="55">
        <f>H40-J40-K40-L40-SUM(N40:R40)</f>
        <v>302876362</v>
      </c>
      <c r="N40" s="19">
        <f t="shared" si="18"/>
        <v>47055070</v>
      </c>
      <c r="O40" s="19">
        <f>SUM(O41:O49)</f>
        <v>3565160</v>
      </c>
      <c r="P40" s="19">
        <f>SUM(P41:P49)</f>
        <v>0</v>
      </c>
      <c r="Q40" s="19">
        <f>SUM(Q41:Q49)</f>
        <v>135333481</v>
      </c>
      <c r="R40" s="19">
        <f>SUM(R41:R49)</f>
        <v>128096159</v>
      </c>
      <c r="S40" s="19">
        <f>SUM(S41:S49)</f>
        <v>616926232</v>
      </c>
      <c r="T40" s="53">
        <f t="shared" si="3"/>
        <v>32.253694256792166</v>
      </c>
      <c r="U40" s="2">
        <f>((J40+K40)*0.33)/(T40/100)</f>
        <v>238114716.83999997</v>
      </c>
      <c r="V40" s="82">
        <f t="shared" si="4"/>
        <v>5385041.839999974</v>
      </c>
      <c r="W40" s="88">
        <v>-6836841</v>
      </c>
      <c r="X40" s="88">
        <f>V40-W40</f>
        <v>12221882.839999974</v>
      </c>
      <c r="Y40" s="100">
        <v>33</v>
      </c>
      <c r="Z40" s="2" t="s">
        <v>133</v>
      </c>
    </row>
    <row r="41" spans="1:25" ht="18.75" customHeight="1">
      <c r="A41" s="14">
        <v>25</v>
      </c>
      <c r="B41" s="18" t="s">
        <v>45</v>
      </c>
      <c r="C41" s="19">
        <f t="shared" si="5"/>
        <v>5699145</v>
      </c>
      <c r="D41" s="65">
        <v>832660</v>
      </c>
      <c r="E41" s="20">
        <v>4866485</v>
      </c>
      <c r="F41" s="20"/>
      <c r="G41" s="72"/>
      <c r="H41" s="61">
        <f t="shared" si="7"/>
        <v>5699145</v>
      </c>
      <c r="I41" s="61">
        <f aca="true" t="shared" si="19" ref="I41:I49">SUM(J41:Q41)</f>
        <v>5699145</v>
      </c>
      <c r="J41" s="20">
        <v>3975718</v>
      </c>
      <c r="K41" s="20">
        <v>6300</v>
      </c>
      <c r="L41" s="20"/>
      <c r="M41" s="59">
        <f t="shared" si="9"/>
        <v>1717127</v>
      </c>
      <c r="N41" s="20"/>
      <c r="O41" s="20"/>
      <c r="P41" s="20"/>
      <c r="Q41" s="20"/>
      <c r="R41" s="20"/>
      <c r="S41" s="60">
        <f t="shared" si="10"/>
        <v>1717127</v>
      </c>
      <c r="T41" s="56">
        <f t="shared" si="3"/>
        <v>69.87044547910257</v>
      </c>
      <c r="U41" s="2">
        <f aca="true" t="shared" si="20" ref="U41:U49">((J41+K41)*0.33)/(T41/100)</f>
        <v>1880717.85</v>
      </c>
      <c r="V41" s="81">
        <f t="shared" si="4"/>
        <v>-2101300.15</v>
      </c>
      <c r="W41" s="81"/>
      <c r="X41" s="81"/>
      <c r="Y41" s="99"/>
    </row>
    <row r="42" spans="1:25" ht="18.75" customHeight="1">
      <c r="A42" s="14">
        <v>26</v>
      </c>
      <c r="B42" s="18" t="s">
        <v>46</v>
      </c>
      <c r="C42" s="19">
        <f t="shared" si="5"/>
        <v>110252422</v>
      </c>
      <c r="D42" s="65">
        <v>65536213</v>
      </c>
      <c r="E42" s="20">
        <v>44716209</v>
      </c>
      <c r="F42" s="20">
        <v>17954212</v>
      </c>
      <c r="G42" s="72"/>
      <c r="H42" s="61">
        <f t="shared" si="7"/>
        <v>92298210</v>
      </c>
      <c r="I42" s="61">
        <f t="shared" si="19"/>
        <v>91176772</v>
      </c>
      <c r="J42" s="20">
        <v>37904460</v>
      </c>
      <c r="K42" s="20">
        <v>31664419</v>
      </c>
      <c r="L42" s="20"/>
      <c r="M42" s="59">
        <f t="shared" si="9"/>
        <v>14078297</v>
      </c>
      <c r="N42" s="20">
        <v>7271180</v>
      </c>
      <c r="O42" s="20"/>
      <c r="P42" s="20"/>
      <c r="Q42" s="20">
        <v>258416</v>
      </c>
      <c r="R42" s="20">
        <v>1121438</v>
      </c>
      <c r="S42" s="60">
        <f t="shared" si="10"/>
        <v>22729331</v>
      </c>
      <c r="T42" s="56">
        <f t="shared" si="3"/>
        <v>76.30109892462524</v>
      </c>
      <c r="U42" s="2">
        <f t="shared" si="20"/>
        <v>30088334.76</v>
      </c>
      <c r="V42" s="81">
        <f t="shared" si="4"/>
        <v>-39480544.239999995</v>
      </c>
      <c r="W42" s="81"/>
      <c r="X42" s="81"/>
      <c r="Y42" s="99"/>
    </row>
    <row r="43" spans="1:25" ht="18.75" customHeight="1">
      <c r="A43" s="14">
        <v>27</v>
      </c>
      <c r="B43" s="18" t="s">
        <v>47</v>
      </c>
      <c r="C43" s="19">
        <f t="shared" si="5"/>
        <v>180357457</v>
      </c>
      <c r="D43" s="65">
        <v>106185872</v>
      </c>
      <c r="E43" s="20">
        <v>74171585</v>
      </c>
      <c r="F43" s="20">
        <v>1495007</v>
      </c>
      <c r="G43" s="72"/>
      <c r="H43" s="61">
        <f t="shared" si="7"/>
        <v>178862450</v>
      </c>
      <c r="I43" s="61">
        <f t="shared" si="19"/>
        <v>135729735</v>
      </c>
      <c r="J43" s="20">
        <v>12636723</v>
      </c>
      <c r="K43" s="20">
        <v>662440</v>
      </c>
      <c r="L43" s="20"/>
      <c r="M43" s="59">
        <f t="shared" si="9"/>
        <v>92283299</v>
      </c>
      <c r="N43" s="20">
        <v>26661879</v>
      </c>
      <c r="O43" s="20">
        <v>1393562</v>
      </c>
      <c r="P43" s="20"/>
      <c r="Q43" s="20">
        <v>2091832</v>
      </c>
      <c r="R43" s="20">
        <v>43132715</v>
      </c>
      <c r="S43" s="60">
        <f t="shared" si="10"/>
        <v>165563287</v>
      </c>
      <c r="T43" s="56">
        <f t="shared" si="3"/>
        <v>9.798267859286693</v>
      </c>
      <c r="U43" s="2">
        <f t="shared" si="20"/>
        <v>44790812.55</v>
      </c>
      <c r="V43" s="81">
        <f t="shared" si="4"/>
        <v>31491649.549999997</v>
      </c>
      <c r="W43" s="81"/>
      <c r="X43" s="81"/>
      <c r="Y43" s="99"/>
    </row>
    <row r="44" spans="1:25" ht="18.75" customHeight="1">
      <c r="A44" s="14">
        <v>28</v>
      </c>
      <c r="B44" s="18" t="s">
        <v>48</v>
      </c>
      <c r="C44" s="19">
        <f t="shared" si="5"/>
        <v>181538791</v>
      </c>
      <c r="D44" s="65">
        <v>119990083</v>
      </c>
      <c r="E44" s="20">
        <v>61548708</v>
      </c>
      <c r="F44" s="20">
        <v>120438</v>
      </c>
      <c r="G44" s="72"/>
      <c r="H44" s="61">
        <f t="shared" si="7"/>
        <v>181418353</v>
      </c>
      <c r="I44" s="61">
        <f t="shared" si="19"/>
        <v>180525092</v>
      </c>
      <c r="J44" s="20">
        <v>81898733</v>
      </c>
      <c r="K44" s="20">
        <v>1184994</v>
      </c>
      <c r="L44" s="20"/>
      <c r="M44" s="59">
        <f t="shared" si="9"/>
        <v>97441365</v>
      </c>
      <c r="N44" s="20">
        <v>0</v>
      </c>
      <c r="O44" s="20"/>
      <c r="P44" s="20"/>
      <c r="Q44" s="20">
        <v>0</v>
      </c>
      <c r="R44" s="20">
        <v>893261</v>
      </c>
      <c r="S44" s="60">
        <f t="shared" si="10"/>
        <v>98334626</v>
      </c>
      <c r="T44" s="56">
        <f t="shared" si="3"/>
        <v>46.02336776540737</v>
      </c>
      <c r="U44" s="2">
        <f t="shared" si="20"/>
        <v>59573280.36</v>
      </c>
      <c r="V44" s="81">
        <f t="shared" si="4"/>
        <v>-23510446.64</v>
      </c>
      <c r="W44" s="81"/>
      <c r="X44" s="81"/>
      <c r="Y44" s="99"/>
    </row>
    <row r="45" spans="1:25" ht="18.75" customHeight="1">
      <c r="A45" s="14">
        <v>29</v>
      </c>
      <c r="B45" s="18" t="s">
        <v>49</v>
      </c>
      <c r="C45" s="19">
        <f t="shared" si="5"/>
        <v>54561217</v>
      </c>
      <c r="D45" s="65">
        <v>13902211</v>
      </c>
      <c r="E45" s="20">
        <v>40659006</v>
      </c>
      <c r="F45" s="20">
        <v>1374395</v>
      </c>
      <c r="G45" s="72"/>
      <c r="H45" s="61">
        <f t="shared" si="7"/>
        <v>53186822</v>
      </c>
      <c r="I45" s="61">
        <f t="shared" si="19"/>
        <v>51084725</v>
      </c>
      <c r="J45" s="20">
        <v>6385646</v>
      </c>
      <c r="K45" s="20">
        <v>2588299</v>
      </c>
      <c r="L45" s="20"/>
      <c r="M45" s="59">
        <f t="shared" si="9"/>
        <v>42110780</v>
      </c>
      <c r="N45" s="20">
        <v>0</v>
      </c>
      <c r="O45" s="20"/>
      <c r="P45" s="20"/>
      <c r="Q45" s="20"/>
      <c r="R45" s="20">
        <v>2102097</v>
      </c>
      <c r="S45" s="60">
        <f t="shared" si="10"/>
        <v>44212877</v>
      </c>
      <c r="T45" s="56">
        <f t="shared" si="3"/>
        <v>17.56678733222113</v>
      </c>
      <c r="U45" s="2">
        <f t="shared" si="20"/>
        <v>16857959.25</v>
      </c>
      <c r="V45" s="81">
        <f t="shared" si="4"/>
        <v>7884014.25</v>
      </c>
      <c r="W45" s="81"/>
      <c r="X45" s="81"/>
      <c r="Y45" s="99"/>
    </row>
    <row r="46" spans="1:25" ht="18.75" customHeight="1">
      <c r="A46" s="14">
        <v>30</v>
      </c>
      <c r="B46" s="18" t="s">
        <v>50</v>
      </c>
      <c r="C46" s="19">
        <f t="shared" si="5"/>
        <v>32638493</v>
      </c>
      <c r="D46" s="65">
        <v>23313549</v>
      </c>
      <c r="E46" s="20">
        <v>9324944</v>
      </c>
      <c r="F46" s="20">
        <v>2944673</v>
      </c>
      <c r="G46" s="72"/>
      <c r="H46" s="61">
        <f t="shared" si="7"/>
        <v>29693820</v>
      </c>
      <c r="I46" s="61">
        <f t="shared" si="19"/>
        <v>19996121</v>
      </c>
      <c r="J46" s="20">
        <v>5938885</v>
      </c>
      <c r="K46" s="20">
        <v>260680</v>
      </c>
      <c r="L46" s="20"/>
      <c r="M46" s="59">
        <f t="shared" si="9"/>
        <v>10738795</v>
      </c>
      <c r="N46" s="20">
        <v>817181</v>
      </c>
      <c r="O46" s="20">
        <v>2171598</v>
      </c>
      <c r="P46" s="20"/>
      <c r="Q46" s="20">
        <v>68982</v>
      </c>
      <c r="R46" s="20">
        <v>9697699</v>
      </c>
      <c r="S46" s="60">
        <f t="shared" si="10"/>
        <v>23494255</v>
      </c>
      <c r="T46" s="56">
        <f t="shared" si="3"/>
        <v>31.00383819441781</v>
      </c>
      <c r="U46" s="2">
        <f t="shared" si="20"/>
        <v>6598719.93</v>
      </c>
      <c r="V46" s="81">
        <f t="shared" si="4"/>
        <v>399154.9299999997</v>
      </c>
      <c r="W46" s="81"/>
      <c r="X46" s="81"/>
      <c r="Y46" s="99"/>
    </row>
    <row r="47" spans="1:25" ht="18.75" customHeight="1">
      <c r="A47" s="14">
        <v>31</v>
      </c>
      <c r="B47" s="18" t="s">
        <v>51</v>
      </c>
      <c r="C47" s="19">
        <f t="shared" si="5"/>
        <v>155657057</v>
      </c>
      <c r="D47" s="65">
        <v>131512648</v>
      </c>
      <c r="E47" s="20">
        <v>24144409</v>
      </c>
      <c r="F47" s="20">
        <v>780</v>
      </c>
      <c r="G47" s="72"/>
      <c r="H47" s="61">
        <f t="shared" si="7"/>
        <v>155656277</v>
      </c>
      <c r="I47" s="61">
        <f t="shared" si="19"/>
        <v>152509945</v>
      </c>
      <c r="J47" s="20">
        <v>15288400</v>
      </c>
      <c r="K47" s="20">
        <v>4811630</v>
      </c>
      <c r="L47" s="20"/>
      <c r="M47" s="59">
        <f t="shared" si="9"/>
        <v>24590959</v>
      </c>
      <c r="N47" s="20">
        <v>1270008</v>
      </c>
      <c r="O47" s="20"/>
      <c r="P47" s="20"/>
      <c r="Q47" s="20">
        <v>106548948</v>
      </c>
      <c r="R47" s="20">
        <v>3146332</v>
      </c>
      <c r="S47" s="60">
        <f t="shared" si="10"/>
        <v>135556247</v>
      </c>
      <c r="T47" s="56">
        <f t="shared" si="3"/>
        <v>13.17948806551599</v>
      </c>
      <c r="U47" s="2">
        <f t="shared" si="20"/>
        <v>50328281.85</v>
      </c>
      <c r="V47" s="81">
        <f t="shared" si="4"/>
        <v>30228251.85</v>
      </c>
      <c r="W47" s="81"/>
      <c r="X47" s="81"/>
      <c r="Y47" s="99"/>
    </row>
    <row r="48" spans="1:25" ht="18.75" customHeight="1">
      <c r="A48" s="14">
        <v>32</v>
      </c>
      <c r="B48" s="18" t="s">
        <v>52</v>
      </c>
      <c r="C48" s="19">
        <f t="shared" si="5"/>
        <v>150588866</v>
      </c>
      <c r="D48" s="65">
        <v>120137630</v>
      </c>
      <c r="E48" s="20">
        <v>30451236</v>
      </c>
      <c r="F48" s="20">
        <v>1165947</v>
      </c>
      <c r="G48" s="72">
        <v>62962883</v>
      </c>
      <c r="H48" s="61">
        <f t="shared" si="7"/>
        <v>149422919</v>
      </c>
      <c r="I48" s="61">
        <f t="shared" si="19"/>
        <v>81591150</v>
      </c>
      <c r="J48" s="20">
        <v>24458485</v>
      </c>
      <c r="K48" s="20">
        <v>1498088</v>
      </c>
      <c r="L48" s="20"/>
      <c r="M48" s="59">
        <f t="shared" si="9"/>
        <v>18234452</v>
      </c>
      <c r="N48" s="20">
        <v>11034822</v>
      </c>
      <c r="O48" s="20"/>
      <c r="P48" s="20"/>
      <c r="Q48" s="20">
        <v>26365303</v>
      </c>
      <c r="R48" s="20">
        <v>67831769</v>
      </c>
      <c r="S48" s="60">
        <f t="shared" si="10"/>
        <v>123466346</v>
      </c>
      <c r="T48" s="56">
        <f t="shared" si="3"/>
        <v>31.812976039680773</v>
      </c>
      <c r="U48" s="2">
        <f t="shared" si="20"/>
        <v>26925079.5</v>
      </c>
      <c r="V48" s="81">
        <f t="shared" si="4"/>
        <v>968506.5</v>
      </c>
      <c r="W48" s="81"/>
      <c r="X48" s="81"/>
      <c r="Y48" s="99"/>
    </row>
    <row r="49" spans="1:25" ht="18.75" customHeight="1">
      <c r="A49" s="14">
        <v>33</v>
      </c>
      <c r="B49" s="18" t="s">
        <v>53</v>
      </c>
      <c r="C49" s="19">
        <f t="shared" si="5"/>
        <v>3607397</v>
      </c>
      <c r="D49" s="65">
        <v>633817</v>
      </c>
      <c r="E49" s="20">
        <v>2973580</v>
      </c>
      <c r="F49" s="20">
        <v>189486</v>
      </c>
      <c r="G49" s="72"/>
      <c r="H49" s="61">
        <f t="shared" si="7"/>
        <v>3417911</v>
      </c>
      <c r="I49" s="61">
        <f t="shared" si="19"/>
        <v>3247063</v>
      </c>
      <c r="J49" s="20">
        <v>1405775</v>
      </c>
      <c r="K49" s="20">
        <v>160000</v>
      </c>
      <c r="L49" s="20"/>
      <c r="M49" s="59">
        <f t="shared" si="9"/>
        <v>1681288</v>
      </c>
      <c r="N49" s="20"/>
      <c r="O49" s="20"/>
      <c r="P49" s="20"/>
      <c r="Q49" s="20"/>
      <c r="R49" s="20">
        <v>170848</v>
      </c>
      <c r="S49" s="60">
        <f t="shared" si="10"/>
        <v>1852136</v>
      </c>
      <c r="T49" s="56">
        <f t="shared" si="3"/>
        <v>48.221269498004816</v>
      </c>
      <c r="U49" s="2">
        <f t="shared" si="20"/>
        <v>1071530.79</v>
      </c>
      <c r="V49" s="81">
        <f t="shared" si="4"/>
        <v>-494244.20999999996</v>
      </c>
      <c r="W49" s="81"/>
      <c r="X49" s="81"/>
      <c r="Y49" s="99"/>
    </row>
    <row r="50" spans="1:26" ht="24" customHeight="1">
      <c r="A50" s="15" t="s">
        <v>96</v>
      </c>
      <c r="B50" s="54" t="s">
        <v>54</v>
      </c>
      <c r="C50" s="19">
        <f>SUM(C51:C55)</f>
        <v>355813325</v>
      </c>
      <c r="D50" s="64">
        <f aca="true" t="shared" si="21" ref="D50:N50">SUM(D51:D55)</f>
        <v>194660970</v>
      </c>
      <c r="E50" s="19">
        <f t="shared" si="21"/>
        <v>161152355</v>
      </c>
      <c r="F50" s="19">
        <f t="shared" si="21"/>
        <v>57172606</v>
      </c>
      <c r="G50" s="71">
        <f t="shared" si="21"/>
        <v>139008296</v>
      </c>
      <c r="H50" s="19">
        <f t="shared" si="21"/>
        <v>298640719</v>
      </c>
      <c r="I50" s="19">
        <f t="shared" si="21"/>
        <v>292631218</v>
      </c>
      <c r="J50" s="19">
        <f t="shared" si="21"/>
        <v>89342874</v>
      </c>
      <c r="K50" s="19">
        <f t="shared" si="21"/>
        <v>16162067</v>
      </c>
      <c r="L50" s="19">
        <f t="shared" si="21"/>
        <v>0</v>
      </c>
      <c r="M50" s="55">
        <f>H50-J50-K50-L50-SUM(N50:R50)</f>
        <v>181614485</v>
      </c>
      <c r="N50" s="19">
        <f t="shared" si="21"/>
        <v>3394238</v>
      </c>
      <c r="O50" s="19">
        <f>SUM(O51:O55)</f>
        <v>271454</v>
      </c>
      <c r="P50" s="19">
        <f>SUM(P51:P55)</f>
        <v>0</v>
      </c>
      <c r="Q50" s="19">
        <f>SUM(Q51:Q55)</f>
        <v>1846100</v>
      </c>
      <c r="R50" s="19">
        <f>SUM(R51:R55)</f>
        <v>6009501</v>
      </c>
      <c r="S50" s="19">
        <f>SUM(S51:S55)</f>
        <v>193135778</v>
      </c>
      <c r="T50" s="53">
        <f t="shared" si="3"/>
        <v>36.05389121539316</v>
      </c>
      <c r="U50" s="2">
        <f aca="true" t="shared" si="22" ref="U50:U55">((J50+K50)*0.3125)/(T50/100)</f>
        <v>91447255.625</v>
      </c>
      <c r="V50" s="82">
        <f t="shared" si="4"/>
        <v>-14057685.375</v>
      </c>
      <c r="W50" s="88">
        <v>-2620843</v>
      </c>
      <c r="X50" s="88">
        <f>V50-W50</f>
        <v>-11436842.375</v>
      </c>
      <c r="Y50" s="100">
        <v>31.25</v>
      </c>
      <c r="Z50" s="2" t="s">
        <v>133</v>
      </c>
    </row>
    <row r="51" spans="1:25" ht="18.75" customHeight="1">
      <c r="A51" s="14">
        <v>34</v>
      </c>
      <c r="B51" s="18" t="s">
        <v>55</v>
      </c>
      <c r="C51" s="19">
        <f t="shared" si="5"/>
        <v>57757126</v>
      </c>
      <c r="D51" s="65">
        <v>43414600</v>
      </c>
      <c r="E51" s="20">
        <v>14342526</v>
      </c>
      <c r="F51" s="20">
        <v>810090</v>
      </c>
      <c r="G51" s="72">
        <v>0</v>
      </c>
      <c r="H51" s="61">
        <f t="shared" si="7"/>
        <v>56947036</v>
      </c>
      <c r="I51" s="61">
        <f>SUM(J51:Q51)</f>
        <v>56434938</v>
      </c>
      <c r="J51" s="20">
        <v>16854356</v>
      </c>
      <c r="K51" s="20">
        <v>1205839</v>
      </c>
      <c r="L51" s="20">
        <v>0</v>
      </c>
      <c r="M51" s="59">
        <f t="shared" si="9"/>
        <v>38114379</v>
      </c>
      <c r="N51" s="20">
        <v>0</v>
      </c>
      <c r="O51" s="20">
        <v>260364</v>
      </c>
      <c r="P51" s="20">
        <v>0</v>
      </c>
      <c r="Q51" s="20">
        <v>0</v>
      </c>
      <c r="R51" s="20">
        <v>512098</v>
      </c>
      <c r="S51" s="60">
        <f t="shared" si="10"/>
        <v>38886841</v>
      </c>
      <c r="T51" s="56">
        <f t="shared" si="3"/>
        <v>32.001798247745036</v>
      </c>
      <c r="U51" s="2">
        <f t="shared" si="22"/>
        <v>17635918.125000004</v>
      </c>
      <c r="V51" s="81">
        <f t="shared" si="4"/>
        <v>-424276.8749999963</v>
      </c>
      <c r="W51" s="81"/>
      <c r="X51" s="81"/>
      <c r="Y51" s="99"/>
    </row>
    <row r="52" spans="1:25" ht="18.75" customHeight="1">
      <c r="A52" s="14">
        <v>35</v>
      </c>
      <c r="B52" s="18" t="s">
        <v>56</v>
      </c>
      <c r="C52" s="19">
        <f t="shared" si="5"/>
        <v>25572413</v>
      </c>
      <c r="D52" s="65">
        <v>15591631</v>
      </c>
      <c r="E52" s="20">
        <v>9980782</v>
      </c>
      <c r="F52" s="20">
        <v>3236312</v>
      </c>
      <c r="G52" s="72">
        <v>83547123</v>
      </c>
      <c r="H52" s="61">
        <f t="shared" si="7"/>
        <v>22336101</v>
      </c>
      <c r="I52" s="61">
        <f>SUM(J52:Q52)</f>
        <v>20938347</v>
      </c>
      <c r="J52" s="20">
        <v>8617782</v>
      </c>
      <c r="K52" s="20">
        <v>849546</v>
      </c>
      <c r="L52" s="20">
        <v>0</v>
      </c>
      <c r="M52" s="59">
        <f t="shared" si="9"/>
        <v>9624918</v>
      </c>
      <c r="N52" s="20">
        <v>1</v>
      </c>
      <c r="O52" s="20">
        <v>0</v>
      </c>
      <c r="P52" s="20">
        <v>0</v>
      </c>
      <c r="Q52" s="20">
        <v>1846100</v>
      </c>
      <c r="R52" s="20">
        <v>1397754</v>
      </c>
      <c r="S52" s="60">
        <f t="shared" si="10"/>
        <v>12868773</v>
      </c>
      <c r="T52" s="56">
        <f t="shared" si="3"/>
        <v>45.21525982925013</v>
      </c>
      <c r="U52" s="2">
        <f t="shared" si="22"/>
        <v>6543233.4375</v>
      </c>
      <c r="V52" s="81">
        <f t="shared" si="4"/>
        <v>-2924094.5625</v>
      </c>
      <c r="W52" s="81"/>
      <c r="X52" s="81"/>
      <c r="Y52" s="99"/>
    </row>
    <row r="53" spans="1:25" ht="18.75" customHeight="1">
      <c r="A53" s="14">
        <v>36</v>
      </c>
      <c r="B53" s="18" t="s">
        <v>57</v>
      </c>
      <c r="C53" s="19">
        <f t="shared" si="5"/>
        <v>56309112</v>
      </c>
      <c r="D53" s="65">
        <v>22330041</v>
      </c>
      <c r="E53" s="20">
        <v>33979071</v>
      </c>
      <c r="F53" s="20">
        <v>11415745</v>
      </c>
      <c r="G53" s="72">
        <v>0</v>
      </c>
      <c r="H53" s="61">
        <f t="shared" si="7"/>
        <v>44893367</v>
      </c>
      <c r="I53" s="61">
        <f>SUM(J53:Q53)</f>
        <v>43334615</v>
      </c>
      <c r="J53" s="20">
        <v>14969638</v>
      </c>
      <c r="K53" s="20">
        <v>9415095</v>
      </c>
      <c r="L53" s="20">
        <v>0</v>
      </c>
      <c r="M53" s="59">
        <f t="shared" si="9"/>
        <v>16461306</v>
      </c>
      <c r="N53" s="20">
        <v>2477486</v>
      </c>
      <c r="O53" s="20">
        <v>11090</v>
      </c>
      <c r="P53" s="20">
        <v>0</v>
      </c>
      <c r="Q53" s="20">
        <v>0</v>
      </c>
      <c r="R53" s="20">
        <v>1558752</v>
      </c>
      <c r="S53" s="60">
        <f t="shared" si="10"/>
        <v>20508634</v>
      </c>
      <c r="T53" s="56">
        <f t="shared" si="3"/>
        <v>56.27079645221262</v>
      </c>
      <c r="U53" s="2">
        <f t="shared" si="22"/>
        <v>13542067.1875</v>
      </c>
      <c r="V53" s="81">
        <f t="shared" si="4"/>
        <v>-10842665.8125</v>
      </c>
      <c r="W53" s="81"/>
      <c r="X53" s="81"/>
      <c r="Y53" s="99"/>
    </row>
    <row r="54" spans="1:25" ht="18.75" customHeight="1">
      <c r="A54" s="14">
        <v>37</v>
      </c>
      <c r="B54" s="18" t="s">
        <v>58</v>
      </c>
      <c r="C54" s="19">
        <f t="shared" si="5"/>
        <v>134903266</v>
      </c>
      <c r="D54" s="65">
        <v>74056583</v>
      </c>
      <c r="E54" s="20">
        <v>60846683</v>
      </c>
      <c r="F54" s="20">
        <v>41298045</v>
      </c>
      <c r="G54" s="72">
        <v>0</v>
      </c>
      <c r="H54" s="61">
        <f t="shared" si="7"/>
        <v>93605221</v>
      </c>
      <c r="I54" s="61">
        <f>SUM(J54:Q54)</f>
        <v>93008901</v>
      </c>
      <c r="J54" s="20">
        <v>28581189</v>
      </c>
      <c r="K54" s="20">
        <v>1833698</v>
      </c>
      <c r="L54" s="20">
        <v>0</v>
      </c>
      <c r="M54" s="59">
        <f t="shared" si="9"/>
        <v>62594014</v>
      </c>
      <c r="N54" s="20">
        <v>0</v>
      </c>
      <c r="O54" s="20">
        <v>0</v>
      </c>
      <c r="P54" s="20">
        <v>0</v>
      </c>
      <c r="Q54" s="20">
        <v>0</v>
      </c>
      <c r="R54" s="20">
        <v>596320</v>
      </c>
      <c r="S54" s="60">
        <f t="shared" si="10"/>
        <v>63190334</v>
      </c>
      <c r="T54" s="56">
        <f t="shared" si="3"/>
        <v>32.70104976296839</v>
      </c>
      <c r="U54" s="2">
        <f t="shared" si="22"/>
        <v>29065281.5625</v>
      </c>
      <c r="V54" s="81">
        <f t="shared" si="4"/>
        <v>-1349605.4375</v>
      </c>
      <c r="W54" s="81"/>
      <c r="X54" s="81"/>
      <c r="Y54" s="99"/>
    </row>
    <row r="55" spans="1:25" ht="21.75" customHeight="1">
      <c r="A55" s="14">
        <v>38</v>
      </c>
      <c r="B55" s="18" t="s">
        <v>116</v>
      </c>
      <c r="C55" s="19">
        <f t="shared" si="5"/>
        <v>81271408</v>
      </c>
      <c r="D55" s="65">
        <v>39268115</v>
      </c>
      <c r="E55" s="20">
        <v>42003293</v>
      </c>
      <c r="F55" s="20">
        <v>412414</v>
      </c>
      <c r="G55" s="72">
        <v>55461173</v>
      </c>
      <c r="H55" s="61">
        <f t="shared" si="7"/>
        <v>80858994</v>
      </c>
      <c r="I55" s="61">
        <f>SUM(J55:Q55)</f>
        <v>78914417</v>
      </c>
      <c r="J55" s="20">
        <v>20319909</v>
      </c>
      <c r="K55" s="20">
        <v>2857889</v>
      </c>
      <c r="L55" s="20">
        <v>0</v>
      </c>
      <c r="M55" s="59">
        <f t="shared" si="9"/>
        <v>54819868</v>
      </c>
      <c r="N55" s="20">
        <v>916751</v>
      </c>
      <c r="O55" s="20">
        <v>0</v>
      </c>
      <c r="P55" s="20">
        <v>0</v>
      </c>
      <c r="Q55" s="20">
        <v>0</v>
      </c>
      <c r="R55" s="20">
        <v>1944577</v>
      </c>
      <c r="S55" s="60">
        <f t="shared" si="10"/>
        <v>57681196</v>
      </c>
      <c r="T55" s="56">
        <f t="shared" si="3"/>
        <v>29.37080305617667</v>
      </c>
      <c r="U55" s="2">
        <f t="shared" si="22"/>
        <v>24660755.3125</v>
      </c>
      <c r="V55" s="81">
        <f t="shared" si="4"/>
        <v>1482957.3125</v>
      </c>
      <c r="W55" s="81"/>
      <c r="X55" s="81"/>
      <c r="Y55" s="99"/>
    </row>
    <row r="56" spans="1:26" ht="18.75" customHeight="1">
      <c r="A56" s="15" t="s">
        <v>97</v>
      </c>
      <c r="B56" s="54" t="s">
        <v>59</v>
      </c>
      <c r="C56" s="19">
        <f>SUM(C57:C62)</f>
        <v>290422747</v>
      </c>
      <c r="D56" s="64">
        <f aca="true" t="shared" si="23" ref="D56:N56">SUM(D57:D62)</f>
        <v>122950644</v>
      </c>
      <c r="E56" s="19">
        <f t="shared" si="23"/>
        <v>167472103</v>
      </c>
      <c r="F56" s="19">
        <f t="shared" si="23"/>
        <v>11951991</v>
      </c>
      <c r="G56" s="71">
        <f t="shared" si="23"/>
        <v>0</v>
      </c>
      <c r="H56" s="19">
        <f t="shared" si="23"/>
        <v>278470756</v>
      </c>
      <c r="I56" s="19">
        <f t="shared" si="23"/>
        <v>262137647</v>
      </c>
      <c r="J56" s="19">
        <f t="shared" si="23"/>
        <v>95671550</v>
      </c>
      <c r="K56" s="19">
        <f t="shared" si="23"/>
        <v>11354028</v>
      </c>
      <c r="L56" s="19">
        <f t="shared" si="23"/>
        <v>0</v>
      </c>
      <c r="M56" s="17">
        <f>H56-J56-K56-L56-SUM(N56:R56)</f>
        <v>135854777</v>
      </c>
      <c r="N56" s="19">
        <f t="shared" si="23"/>
        <v>16367555</v>
      </c>
      <c r="O56" s="19">
        <f>SUM(O57:O62)</f>
        <v>2885362</v>
      </c>
      <c r="P56" s="19">
        <f>SUM(P57:P62)</f>
        <v>0</v>
      </c>
      <c r="Q56" s="19">
        <f>SUM(Q57:Q62)</f>
        <v>4375</v>
      </c>
      <c r="R56" s="19">
        <f>SUM(R57:R62)</f>
        <v>16333109</v>
      </c>
      <c r="S56" s="19">
        <f>SUM(S57:S62)</f>
        <v>171445178</v>
      </c>
      <c r="T56" s="53">
        <f t="shared" si="3"/>
        <v>40.82800743229377</v>
      </c>
      <c r="U56" s="2">
        <f>((J56+K56)*0.32)/(T56/100)</f>
        <v>83884047.04</v>
      </c>
      <c r="V56" s="82">
        <f t="shared" si="4"/>
        <v>-23141530.959999993</v>
      </c>
      <c r="W56" s="88">
        <v>-2207918</v>
      </c>
      <c r="X56" s="88">
        <f>V56-W56</f>
        <v>-20933612.959999993</v>
      </c>
      <c r="Y56" s="100">
        <v>32</v>
      </c>
      <c r="Z56" s="2" t="s">
        <v>133</v>
      </c>
    </row>
    <row r="57" spans="1:25" ht="18.75" customHeight="1">
      <c r="A57" s="14">
        <v>39</v>
      </c>
      <c r="B57" s="18" t="s">
        <v>60</v>
      </c>
      <c r="C57" s="19">
        <f t="shared" si="5"/>
        <v>2442997</v>
      </c>
      <c r="D57" s="65">
        <v>101782</v>
      </c>
      <c r="E57" s="20">
        <v>2341215</v>
      </c>
      <c r="F57" s="20">
        <v>36300</v>
      </c>
      <c r="G57" s="72"/>
      <c r="H57" s="61">
        <f t="shared" si="7"/>
        <v>2406697</v>
      </c>
      <c r="I57" s="61">
        <f aca="true" t="shared" si="24" ref="I57:I62">SUM(J57:Q57)</f>
        <v>2286789</v>
      </c>
      <c r="J57" s="20">
        <v>2158530</v>
      </c>
      <c r="K57" s="20"/>
      <c r="L57" s="20"/>
      <c r="M57" s="59">
        <f t="shared" si="9"/>
        <v>95885</v>
      </c>
      <c r="N57" s="20">
        <v>601</v>
      </c>
      <c r="O57" s="20">
        <v>31773</v>
      </c>
      <c r="P57" s="20"/>
      <c r="Q57" s="20"/>
      <c r="R57" s="20">
        <v>119908</v>
      </c>
      <c r="S57" s="60">
        <f t="shared" si="10"/>
        <v>248167</v>
      </c>
      <c r="T57" s="56">
        <f t="shared" si="3"/>
        <v>94.39130588786286</v>
      </c>
      <c r="U57" s="2">
        <f aca="true" t="shared" si="25" ref="U57:U62">((J57+K57)*0.32)/(T57/100)</f>
        <v>731772.48</v>
      </c>
      <c r="V57" s="81">
        <f t="shared" si="4"/>
        <v>-1426757.52</v>
      </c>
      <c r="W57" s="81"/>
      <c r="X57" s="81"/>
      <c r="Y57" s="99"/>
    </row>
    <row r="58" spans="1:25" ht="18.75" customHeight="1">
      <c r="A58" s="14">
        <v>40</v>
      </c>
      <c r="B58" s="18" t="s">
        <v>61</v>
      </c>
      <c r="C58" s="19">
        <f t="shared" si="5"/>
        <v>104745931</v>
      </c>
      <c r="D58" s="65">
        <v>31689912</v>
      </c>
      <c r="E58" s="20">
        <v>73056019</v>
      </c>
      <c r="F58" s="20">
        <v>1849604</v>
      </c>
      <c r="G58" s="72"/>
      <c r="H58" s="61">
        <f t="shared" si="7"/>
        <v>102896327</v>
      </c>
      <c r="I58" s="61">
        <f t="shared" si="24"/>
        <v>99172318</v>
      </c>
      <c r="J58" s="20">
        <v>41058950</v>
      </c>
      <c r="K58" s="20">
        <v>2253482</v>
      </c>
      <c r="L58" s="20"/>
      <c r="M58" s="59">
        <f t="shared" si="9"/>
        <v>46816271</v>
      </c>
      <c r="N58" s="20">
        <v>6185651</v>
      </c>
      <c r="O58" s="20">
        <v>2853589</v>
      </c>
      <c r="P58" s="20"/>
      <c r="Q58" s="20">
        <v>4375</v>
      </c>
      <c r="R58" s="20">
        <v>3724009</v>
      </c>
      <c r="S58" s="60">
        <f t="shared" si="10"/>
        <v>59583895</v>
      </c>
      <c r="T58" s="56">
        <f t="shared" si="3"/>
        <v>43.67391311756976</v>
      </c>
      <c r="U58" s="2">
        <f t="shared" si="25"/>
        <v>31735141.76</v>
      </c>
      <c r="V58" s="81">
        <f t="shared" si="4"/>
        <v>-11577290.239999998</v>
      </c>
      <c r="W58" s="81"/>
      <c r="X58" s="81"/>
      <c r="Y58" s="99"/>
    </row>
    <row r="59" spans="1:25" ht="18.75" customHeight="1">
      <c r="A59" s="14">
        <v>41</v>
      </c>
      <c r="B59" s="18" t="s">
        <v>62</v>
      </c>
      <c r="C59" s="19">
        <f t="shared" si="5"/>
        <v>41342965</v>
      </c>
      <c r="D59" s="65">
        <v>17798866</v>
      </c>
      <c r="E59" s="20">
        <v>23544099</v>
      </c>
      <c r="F59" s="20">
        <v>2670439</v>
      </c>
      <c r="G59" s="72"/>
      <c r="H59" s="61">
        <f t="shared" si="7"/>
        <v>38672526</v>
      </c>
      <c r="I59" s="61">
        <f t="shared" si="24"/>
        <v>36299782</v>
      </c>
      <c r="J59" s="20">
        <v>9309951</v>
      </c>
      <c r="K59" s="20">
        <v>2992208</v>
      </c>
      <c r="L59" s="20"/>
      <c r="M59" s="59">
        <f t="shared" si="9"/>
        <v>23932821</v>
      </c>
      <c r="N59" s="20">
        <v>64802</v>
      </c>
      <c r="O59" s="20"/>
      <c r="P59" s="20"/>
      <c r="Q59" s="20"/>
      <c r="R59" s="20">
        <v>2372744</v>
      </c>
      <c r="S59" s="60">
        <f t="shared" si="10"/>
        <v>26370367</v>
      </c>
      <c r="T59" s="56">
        <f t="shared" si="3"/>
        <v>33.890448708479845</v>
      </c>
      <c r="U59" s="2">
        <f t="shared" si="25"/>
        <v>11615930.240000002</v>
      </c>
      <c r="V59" s="81">
        <f t="shared" si="4"/>
        <v>-686228.7599999979</v>
      </c>
      <c r="W59" s="81"/>
      <c r="X59" s="81"/>
      <c r="Y59" s="99"/>
    </row>
    <row r="60" spans="1:25" ht="18.75" customHeight="1">
      <c r="A60" s="14">
        <v>42</v>
      </c>
      <c r="B60" s="18" t="s">
        <v>63</v>
      </c>
      <c r="C60" s="19">
        <f t="shared" si="5"/>
        <v>30169321</v>
      </c>
      <c r="D60" s="65">
        <v>17665779</v>
      </c>
      <c r="E60" s="20">
        <v>12503542</v>
      </c>
      <c r="F60" s="20">
        <v>2109927</v>
      </c>
      <c r="G60" s="72"/>
      <c r="H60" s="61">
        <f t="shared" si="7"/>
        <v>28059394</v>
      </c>
      <c r="I60" s="61">
        <f t="shared" si="24"/>
        <v>24446726</v>
      </c>
      <c r="J60" s="20">
        <v>14005419</v>
      </c>
      <c r="K60" s="20">
        <v>215446</v>
      </c>
      <c r="L60" s="20"/>
      <c r="M60" s="59">
        <f t="shared" si="9"/>
        <v>9558116</v>
      </c>
      <c r="N60" s="20">
        <v>667745</v>
      </c>
      <c r="O60" s="20"/>
      <c r="P60" s="20"/>
      <c r="Q60" s="20"/>
      <c r="R60" s="20">
        <v>3612668</v>
      </c>
      <c r="S60" s="60">
        <f t="shared" si="10"/>
        <v>13838529</v>
      </c>
      <c r="T60" s="56">
        <f t="shared" si="3"/>
        <v>58.170836454746535</v>
      </c>
      <c r="U60" s="2">
        <f t="shared" si="25"/>
        <v>7822952.32</v>
      </c>
      <c r="V60" s="81">
        <f t="shared" si="4"/>
        <v>-6397912.68</v>
      </c>
      <c r="W60" s="81"/>
      <c r="X60" s="81"/>
      <c r="Y60" s="99"/>
    </row>
    <row r="61" spans="1:25" ht="18.75" customHeight="1">
      <c r="A61" s="14">
        <v>43</v>
      </c>
      <c r="B61" s="18" t="s">
        <v>64</v>
      </c>
      <c r="C61" s="19">
        <f t="shared" si="5"/>
        <v>98673184</v>
      </c>
      <c r="D61" s="65">
        <v>54088088</v>
      </c>
      <c r="E61" s="20">
        <v>44585096</v>
      </c>
      <c r="F61" s="20">
        <v>5211941</v>
      </c>
      <c r="G61" s="72"/>
      <c r="H61" s="61">
        <f t="shared" si="7"/>
        <v>93461243</v>
      </c>
      <c r="I61" s="61">
        <f t="shared" si="24"/>
        <v>87831916</v>
      </c>
      <c r="J61" s="20">
        <v>26386051</v>
      </c>
      <c r="K61" s="20">
        <v>5385892</v>
      </c>
      <c r="L61" s="20"/>
      <c r="M61" s="59">
        <f t="shared" si="9"/>
        <v>46611217</v>
      </c>
      <c r="N61" s="20">
        <v>9448756</v>
      </c>
      <c r="O61" s="20"/>
      <c r="P61" s="20"/>
      <c r="Q61" s="20"/>
      <c r="R61" s="20">
        <v>5629327</v>
      </c>
      <c r="S61" s="60">
        <f t="shared" si="10"/>
        <v>61689300</v>
      </c>
      <c r="T61" s="56">
        <f t="shared" si="3"/>
        <v>36.1735738521291</v>
      </c>
      <c r="U61" s="2">
        <f t="shared" si="25"/>
        <v>28106213.12</v>
      </c>
      <c r="V61" s="81">
        <f t="shared" si="4"/>
        <v>-3665729.879999999</v>
      </c>
      <c r="W61" s="81"/>
      <c r="X61" s="81"/>
      <c r="Y61" s="99"/>
    </row>
    <row r="62" spans="1:25" ht="18.75" customHeight="1">
      <c r="A62" s="14">
        <v>44</v>
      </c>
      <c r="B62" s="18" t="s">
        <v>65</v>
      </c>
      <c r="C62" s="19">
        <f t="shared" si="5"/>
        <v>13048349</v>
      </c>
      <c r="D62" s="65">
        <v>1606217</v>
      </c>
      <c r="E62" s="20">
        <v>11442132</v>
      </c>
      <c r="F62" s="20">
        <v>73780</v>
      </c>
      <c r="G62" s="72"/>
      <c r="H62" s="61">
        <f t="shared" si="7"/>
        <v>12974569</v>
      </c>
      <c r="I62" s="61">
        <f t="shared" si="24"/>
        <v>12100116</v>
      </c>
      <c r="J62" s="20">
        <v>2752649</v>
      </c>
      <c r="K62" s="20">
        <v>507000</v>
      </c>
      <c r="L62" s="20"/>
      <c r="M62" s="59">
        <f t="shared" si="9"/>
        <v>8840467</v>
      </c>
      <c r="N62" s="20"/>
      <c r="O62" s="20"/>
      <c r="P62" s="20"/>
      <c r="Q62" s="20"/>
      <c r="R62" s="20">
        <v>874453</v>
      </c>
      <c r="S62" s="60">
        <f t="shared" si="10"/>
        <v>9714920</v>
      </c>
      <c r="T62" s="56">
        <f t="shared" si="3"/>
        <v>26.938989675801455</v>
      </c>
      <c r="U62" s="2">
        <f t="shared" si="25"/>
        <v>3872037.12</v>
      </c>
      <c r="V62" s="81">
        <f t="shared" si="4"/>
        <v>612388.1200000001</v>
      </c>
      <c r="W62" s="81"/>
      <c r="X62" s="81"/>
      <c r="Y62" s="99"/>
    </row>
    <row r="63" spans="1:26" ht="18.75" customHeight="1">
      <c r="A63" s="15" t="s">
        <v>98</v>
      </c>
      <c r="B63" s="54" t="s">
        <v>66</v>
      </c>
      <c r="C63" s="19">
        <f>SUM(C64:C67)</f>
        <v>242434589</v>
      </c>
      <c r="D63" s="64">
        <f aca="true" t="shared" si="26" ref="D63:N63">SUM(D64:D67)</f>
        <v>152901788</v>
      </c>
      <c r="E63" s="19">
        <f t="shared" si="26"/>
        <v>89532801</v>
      </c>
      <c r="F63" s="19">
        <f t="shared" si="26"/>
        <v>8292158</v>
      </c>
      <c r="G63" s="71">
        <f t="shared" si="26"/>
        <v>0</v>
      </c>
      <c r="H63" s="19">
        <f t="shared" si="26"/>
        <v>234142431</v>
      </c>
      <c r="I63" s="19">
        <f t="shared" si="26"/>
        <v>200570740</v>
      </c>
      <c r="J63" s="19">
        <f t="shared" si="26"/>
        <v>35275007</v>
      </c>
      <c r="K63" s="19">
        <f t="shared" si="26"/>
        <v>10158613</v>
      </c>
      <c r="L63" s="19">
        <f t="shared" si="26"/>
        <v>13675</v>
      </c>
      <c r="M63" s="17">
        <f>H63-J63-K63-L63-SUM(N63:R63)</f>
        <v>113623734</v>
      </c>
      <c r="N63" s="19">
        <f t="shared" si="26"/>
        <v>22984985</v>
      </c>
      <c r="O63" s="19">
        <f>SUM(O64:O67)</f>
        <v>10883010</v>
      </c>
      <c r="P63" s="19">
        <f>SUM(P64:P67)</f>
        <v>0</v>
      </c>
      <c r="Q63" s="19">
        <f>SUM(Q64:Q67)</f>
        <v>7631716</v>
      </c>
      <c r="R63" s="19">
        <f>SUM(R64:R67)</f>
        <v>33571691</v>
      </c>
      <c r="S63" s="19">
        <f>SUM(S64:S67)</f>
        <v>188695136</v>
      </c>
      <c r="T63" s="53">
        <f t="shared" si="3"/>
        <v>22.65898555292761</v>
      </c>
      <c r="U63" s="2">
        <f aca="true" t="shared" si="27" ref="U63:U73">((J63+K63)*0.3)/(T63/100)</f>
        <v>60153116.59986892</v>
      </c>
      <c r="V63" s="82">
        <f t="shared" si="4"/>
        <v>14719496.599868923</v>
      </c>
      <c r="W63" s="88">
        <v>-1925792</v>
      </c>
      <c r="X63" s="88">
        <f>V63-W63</f>
        <v>16645288.599868923</v>
      </c>
      <c r="Y63" s="100">
        <v>30</v>
      </c>
      <c r="Z63" s="2" t="s">
        <v>133</v>
      </c>
    </row>
    <row r="64" spans="1:25" ht="18.75" customHeight="1">
      <c r="A64" s="14">
        <v>45</v>
      </c>
      <c r="B64" s="18" t="s">
        <v>67</v>
      </c>
      <c r="C64" s="19">
        <f t="shared" si="5"/>
        <v>48430940</v>
      </c>
      <c r="D64" s="65">
        <v>25885941</v>
      </c>
      <c r="E64" s="20">
        <v>22544999</v>
      </c>
      <c r="F64" s="20">
        <v>130020</v>
      </c>
      <c r="G64" s="72"/>
      <c r="H64" s="61">
        <f t="shared" si="7"/>
        <v>48300920</v>
      </c>
      <c r="I64" s="61">
        <f>SUM(J64:Q64)</f>
        <v>45698961</v>
      </c>
      <c r="J64" s="20">
        <v>4356372</v>
      </c>
      <c r="K64" s="20">
        <v>986257</v>
      </c>
      <c r="L64" s="20">
        <v>13675</v>
      </c>
      <c r="M64" s="59">
        <f t="shared" si="9"/>
        <v>32441881</v>
      </c>
      <c r="N64" s="20">
        <v>7446776</v>
      </c>
      <c r="O64" s="20"/>
      <c r="P64" s="20"/>
      <c r="Q64" s="20">
        <v>454000</v>
      </c>
      <c r="R64" s="20">
        <v>2601959</v>
      </c>
      <c r="S64" s="60">
        <f t="shared" si="10"/>
        <v>42944616</v>
      </c>
      <c r="T64" s="56">
        <f t="shared" si="3"/>
        <v>11.720844156610037</v>
      </c>
      <c r="U64" s="2">
        <f t="shared" si="27"/>
        <v>13674686.554859601</v>
      </c>
      <c r="V64" s="81">
        <f t="shared" si="4"/>
        <v>8332057.554859601</v>
      </c>
      <c r="W64" s="81"/>
      <c r="X64" s="81"/>
      <c r="Y64" s="99"/>
    </row>
    <row r="65" spans="1:25" ht="18.75" customHeight="1">
      <c r="A65" s="14">
        <v>46</v>
      </c>
      <c r="B65" s="18" t="s">
        <v>68</v>
      </c>
      <c r="C65" s="19">
        <f t="shared" si="5"/>
        <v>83598752</v>
      </c>
      <c r="D65" s="65">
        <v>50522946</v>
      </c>
      <c r="E65" s="20">
        <v>33075806</v>
      </c>
      <c r="F65" s="20">
        <v>7626641</v>
      </c>
      <c r="G65" s="72"/>
      <c r="H65" s="61">
        <f t="shared" si="7"/>
        <v>75972111</v>
      </c>
      <c r="I65" s="61">
        <f>SUM(J65:Q65)</f>
        <v>71309674</v>
      </c>
      <c r="J65" s="20">
        <v>16581349</v>
      </c>
      <c r="K65" s="20">
        <v>6152396</v>
      </c>
      <c r="L65" s="20"/>
      <c r="M65" s="59">
        <f t="shared" si="9"/>
        <v>27765593</v>
      </c>
      <c r="N65" s="20">
        <v>3024062</v>
      </c>
      <c r="O65" s="20">
        <v>10608558</v>
      </c>
      <c r="P65" s="20"/>
      <c r="Q65" s="20">
        <v>7177716</v>
      </c>
      <c r="R65" s="20">
        <v>4662437</v>
      </c>
      <c r="S65" s="60">
        <f t="shared" si="10"/>
        <v>53238366</v>
      </c>
      <c r="T65" s="56">
        <f t="shared" si="3"/>
        <v>31.880309816028607</v>
      </c>
      <c r="U65" s="2">
        <f t="shared" si="27"/>
        <v>21392902.2</v>
      </c>
      <c r="V65" s="81">
        <f t="shared" si="4"/>
        <v>-1340842.8000000007</v>
      </c>
      <c r="W65" s="81"/>
      <c r="X65" s="81"/>
      <c r="Y65" s="99"/>
    </row>
    <row r="66" spans="1:25" ht="18.75" customHeight="1">
      <c r="A66" s="14">
        <v>47</v>
      </c>
      <c r="B66" s="18" t="s">
        <v>69</v>
      </c>
      <c r="C66" s="19">
        <f t="shared" si="5"/>
        <v>72945269</v>
      </c>
      <c r="D66" s="65">
        <v>52550650</v>
      </c>
      <c r="E66" s="20">
        <v>20394619</v>
      </c>
      <c r="F66" s="20">
        <v>155700</v>
      </c>
      <c r="G66" s="72"/>
      <c r="H66" s="61">
        <f t="shared" si="7"/>
        <v>72789569</v>
      </c>
      <c r="I66" s="61">
        <f>SUM(J66:Q66)</f>
        <v>57995916</v>
      </c>
      <c r="J66" s="20">
        <v>8653926</v>
      </c>
      <c r="K66" s="20">
        <v>2485275</v>
      </c>
      <c r="L66" s="20"/>
      <c r="M66" s="59">
        <f t="shared" si="9"/>
        <v>36926852</v>
      </c>
      <c r="N66" s="20">
        <v>9655411</v>
      </c>
      <c r="O66" s="20">
        <v>274452</v>
      </c>
      <c r="P66" s="20"/>
      <c r="Q66" s="20"/>
      <c r="R66" s="20">
        <v>14793653</v>
      </c>
      <c r="S66" s="60">
        <f t="shared" si="10"/>
        <v>61650368</v>
      </c>
      <c r="T66" s="56">
        <f t="shared" si="3"/>
        <v>19.206871394185757</v>
      </c>
      <c r="U66" s="2">
        <f t="shared" si="27"/>
        <v>17398774.799999997</v>
      </c>
      <c r="V66" s="81">
        <f t="shared" si="4"/>
        <v>6259573.799999997</v>
      </c>
      <c r="W66" s="81"/>
      <c r="X66" s="81"/>
      <c r="Y66" s="99"/>
    </row>
    <row r="67" spans="1:25" ht="18.75" customHeight="1">
      <c r="A67" s="14">
        <v>48</v>
      </c>
      <c r="B67" s="18" t="s">
        <v>70</v>
      </c>
      <c r="C67" s="19">
        <f t="shared" si="5"/>
        <v>37459628</v>
      </c>
      <c r="D67" s="65">
        <v>23942251</v>
      </c>
      <c r="E67" s="20">
        <v>13517377</v>
      </c>
      <c r="F67" s="20">
        <v>379797</v>
      </c>
      <c r="G67" s="72"/>
      <c r="H67" s="61">
        <f t="shared" si="7"/>
        <v>37079831</v>
      </c>
      <c r="I67" s="61">
        <f>SUM(J67:Q67)</f>
        <v>25566189</v>
      </c>
      <c r="J67" s="20">
        <v>5683360</v>
      </c>
      <c r="K67" s="20">
        <v>534685</v>
      </c>
      <c r="L67" s="20"/>
      <c r="M67" s="59">
        <f t="shared" si="9"/>
        <v>16489408</v>
      </c>
      <c r="N67" s="20">
        <v>2858736</v>
      </c>
      <c r="O67" s="20"/>
      <c r="P67" s="20"/>
      <c r="Q67" s="20"/>
      <c r="R67" s="20">
        <v>11513642</v>
      </c>
      <c r="S67" s="60">
        <f t="shared" si="10"/>
        <v>30861786</v>
      </c>
      <c r="T67" s="56">
        <f t="shared" si="3"/>
        <v>24.321360528156934</v>
      </c>
      <c r="U67" s="2">
        <f t="shared" si="27"/>
        <v>7669856.7</v>
      </c>
      <c r="V67" s="81">
        <f t="shared" si="4"/>
        <v>1451811.7000000002</v>
      </c>
      <c r="W67" s="81"/>
      <c r="X67" s="81"/>
      <c r="Y67" s="99"/>
    </row>
    <row r="68" spans="1:26" ht="18.75" customHeight="1">
      <c r="A68" s="15" t="s">
        <v>99</v>
      </c>
      <c r="B68" s="54" t="s">
        <v>71</v>
      </c>
      <c r="C68" s="19">
        <f>SUM(C69:C70)</f>
        <v>169382680</v>
      </c>
      <c r="D68" s="64">
        <f aca="true" t="shared" si="28" ref="D68:N68">SUM(D69:D70)</f>
        <v>117478765</v>
      </c>
      <c r="E68" s="19">
        <f t="shared" si="28"/>
        <v>51903915</v>
      </c>
      <c r="F68" s="19">
        <f t="shared" si="28"/>
        <v>4456232</v>
      </c>
      <c r="G68" s="71">
        <f t="shared" si="28"/>
        <v>3554093</v>
      </c>
      <c r="H68" s="19">
        <f t="shared" si="28"/>
        <v>164926448</v>
      </c>
      <c r="I68" s="19">
        <f t="shared" si="28"/>
        <v>157723746</v>
      </c>
      <c r="J68" s="19">
        <f t="shared" si="28"/>
        <v>22418967</v>
      </c>
      <c r="K68" s="19">
        <f t="shared" si="28"/>
        <v>1755385</v>
      </c>
      <c r="L68" s="19">
        <f t="shared" si="28"/>
        <v>3625</v>
      </c>
      <c r="M68" s="17">
        <f>H68-J68-K68-L68-SUM(N68:R68)</f>
        <v>124365082</v>
      </c>
      <c r="N68" s="19">
        <f t="shared" si="28"/>
        <v>4554357</v>
      </c>
      <c r="O68" s="19">
        <f>SUM(O69:O70)</f>
        <v>32283</v>
      </c>
      <c r="P68" s="19">
        <f>SUM(P69:P70)</f>
        <v>0</v>
      </c>
      <c r="Q68" s="19">
        <f>SUM(Q69:Q70)</f>
        <v>4594047</v>
      </c>
      <c r="R68" s="19">
        <f>SUM(R69:R70)</f>
        <v>7202702</v>
      </c>
      <c r="S68" s="19">
        <f>SUM(S69:S70)</f>
        <v>140748471</v>
      </c>
      <c r="T68" s="53">
        <f t="shared" si="3"/>
        <v>15.329319530617793</v>
      </c>
      <c r="U68" s="2">
        <f t="shared" si="27"/>
        <v>47310029.551636085</v>
      </c>
      <c r="V68" s="82">
        <f t="shared" si="4"/>
        <v>23135677.551636085</v>
      </c>
      <c r="W68" s="88">
        <v>-693420</v>
      </c>
      <c r="X68" s="88">
        <f>V68-W68</f>
        <v>23829097.551636085</v>
      </c>
      <c r="Y68" s="100">
        <v>30</v>
      </c>
      <c r="Z68" s="2" t="s">
        <v>133</v>
      </c>
    </row>
    <row r="69" spans="1:25" ht="18.75" customHeight="1">
      <c r="A69" s="14">
        <v>49</v>
      </c>
      <c r="B69" s="18" t="s">
        <v>72</v>
      </c>
      <c r="C69" s="19">
        <f t="shared" si="5"/>
        <v>119333817</v>
      </c>
      <c r="D69" s="65">
        <v>101607519</v>
      </c>
      <c r="E69" s="20">
        <v>17726298</v>
      </c>
      <c r="F69" s="20">
        <v>468983</v>
      </c>
      <c r="G69" s="72">
        <v>3554093</v>
      </c>
      <c r="H69" s="61">
        <f t="shared" si="7"/>
        <v>118864834</v>
      </c>
      <c r="I69" s="61">
        <f>SUM(J69:Q69)</f>
        <v>113113913</v>
      </c>
      <c r="J69" s="20">
        <v>15375372</v>
      </c>
      <c r="K69" s="20">
        <v>617425</v>
      </c>
      <c r="L69" s="20">
        <v>3625</v>
      </c>
      <c r="M69" s="59">
        <f t="shared" si="9"/>
        <v>93639845</v>
      </c>
      <c r="N69" s="20">
        <v>1114354</v>
      </c>
      <c r="O69" s="20">
        <v>32283</v>
      </c>
      <c r="P69" s="20"/>
      <c r="Q69" s="20">
        <v>2331009</v>
      </c>
      <c r="R69" s="20">
        <v>5750921</v>
      </c>
      <c r="S69" s="60">
        <f t="shared" si="10"/>
        <v>102868412</v>
      </c>
      <c r="T69" s="56">
        <f t="shared" si="3"/>
        <v>14.141869532884076</v>
      </c>
      <c r="U69" s="2">
        <f t="shared" si="27"/>
        <v>33926483.96906497</v>
      </c>
      <c r="V69" s="81">
        <f t="shared" si="4"/>
        <v>17933686.969064973</v>
      </c>
      <c r="W69" s="81"/>
      <c r="X69" s="81"/>
      <c r="Y69" s="99"/>
    </row>
    <row r="70" spans="1:25" ht="18.75" customHeight="1">
      <c r="A70" s="14">
        <v>50</v>
      </c>
      <c r="B70" s="18" t="s">
        <v>73</v>
      </c>
      <c r="C70" s="19">
        <f t="shared" si="5"/>
        <v>50048863</v>
      </c>
      <c r="D70" s="65">
        <v>15871246</v>
      </c>
      <c r="E70" s="20">
        <v>34177617</v>
      </c>
      <c r="F70" s="20">
        <v>3987249</v>
      </c>
      <c r="G70" s="72"/>
      <c r="H70" s="61">
        <f t="shared" si="7"/>
        <v>46061614</v>
      </c>
      <c r="I70" s="61">
        <f>SUM(J70:Q70)</f>
        <v>44609833</v>
      </c>
      <c r="J70" s="20">
        <v>7043595</v>
      </c>
      <c r="K70" s="20">
        <v>1137960</v>
      </c>
      <c r="L70" s="20"/>
      <c r="M70" s="59">
        <f t="shared" si="9"/>
        <v>30725237</v>
      </c>
      <c r="N70" s="20">
        <v>3440003</v>
      </c>
      <c r="O70" s="20"/>
      <c r="P70" s="20"/>
      <c r="Q70" s="20">
        <v>2263038</v>
      </c>
      <c r="R70" s="20">
        <v>1451781</v>
      </c>
      <c r="S70" s="60">
        <f t="shared" si="10"/>
        <v>37880059</v>
      </c>
      <c r="T70" s="56">
        <f t="shared" si="3"/>
        <v>18.34025023137836</v>
      </c>
      <c r="U70" s="2">
        <f t="shared" si="27"/>
        <v>13382949.9</v>
      </c>
      <c r="V70" s="81">
        <f t="shared" si="4"/>
        <v>5201394.9</v>
      </c>
      <c r="W70" s="81"/>
      <c r="X70" s="81"/>
      <c r="Y70" s="99"/>
    </row>
    <row r="71" spans="1:26" ht="18.75" customHeight="1">
      <c r="A71" s="15" t="s">
        <v>100</v>
      </c>
      <c r="B71" s="54" t="s">
        <v>74</v>
      </c>
      <c r="C71" s="19">
        <f>SUM(C72:C73)</f>
        <v>224737290</v>
      </c>
      <c r="D71" s="64">
        <f aca="true" t="shared" si="29" ref="D71:N71">SUM(D72:D73)</f>
        <v>195047694</v>
      </c>
      <c r="E71" s="19">
        <f t="shared" si="29"/>
        <v>29689596</v>
      </c>
      <c r="F71" s="19">
        <f t="shared" si="29"/>
        <v>591999</v>
      </c>
      <c r="G71" s="71">
        <f t="shared" si="29"/>
        <v>0</v>
      </c>
      <c r="H71" s="19">
        <f t="shared" si="29"/>
        <v>224145291</v>
      </c>
      <c r="I71" s="19">
        <f t="shared" si="29"/>
        <v>219087365</v>
      </c>
      <c r="J71" s="19">
        <f t="shared" si="29"/>
        <v>7483086</v>
      </c>
      <c r="K71" s="19">
        <f t="shared" si="29"/>
        <v>5787259</v>
      </c>
      <c r="L71" s="19">
        <f t="shared" si="29"/>
        <v>0</v>
      </c>
      <c r="M71" s="17">
        <f>H71-J71-K71-L71-SUM(N71:R71)</f>
        <v>182510561</v>
      </c>
      <c r="N71" s="19">
        <f t="shared" si="29"/>
        <v>23198394</v>
      </c>
      <c r="O71" s="19">
        <f>SUM(O72:O73)</f>
        <v>1</v>
      </c>
      <c r="P71" s="19">
        <f>SUM(P72:P73)</f>
        <v>0</v>
      </c>
      <c r="Q71" s="19">
        <f>SUM(Q72:Q73)</f>
        <v>108064</v>
      </c>
      <c r="R71" s="19">
        <f>SUM(R72:R73)</f>
        <v>5057926</v>
      </c>
      <c r="S71" s="19">
        <f>SUM(S72:S73)</f>
        <v>210874946</v>
      </c>
      <c r="T71" s="53">
        <f t="shared" si="3"/>
        <v>6.05710192370062</v>
      </c>
      <c r="U71" s="2">
        <f t="shared" si="27"/>
        <v>65726209.5</v>
      </c>
      <c r="V71" s="82">
        <f t="shared" si="4"/>
        <v>52455864.5</v>
      </c>
      <c r="W71" s="88">
        <v>-463602</v>
      </c>
      <c r="X71" s="88">
        <f>V71-W71</f>
        <v>52919466.5</v>
      </c>
      <c r="Y71" s="100">
        <v>30</v>
      </c>
      <c r="Z71" s="2" t="s">
        <v>133</v>
      </c>
    </row>
    <row r="72" spans="1:25" ht="18.75" customHeight="1">
      <c r="A72" s="14">
        <v>51</v>
      </c>
      <c r="B72" s="18" t="s">
        <v>75</v>
      </c>
      <c r="C72" s="19">
        <f t="shared" si="5"/>
        <v>110298555</v>
      </c>
      <c r="D72" s="65">
        <v>92303462</v>
      </c>
      <c r="E72" s="20">
        <v>17995093</v>
      </c>
      <c r="F72" s="20">
        <v>340224</v>
      </c>
      <c r="G72" s="72">
        <v>0</v>
      </c>
      <c r="H72" s="61">
        <f t="shared" si="7"/>
        <v>109958331</v>
      </c>
      <c r="I72" s="61">
        <f>SUM(J72:Q72)</f>
        <v>105994285</v>
      </c>
      <c r="J72" s="20">
        <v>3479504</v>
      </c>
      <c r="K72" s="20">
        <v>5596520</v>
      </c>
      <c r="L72" s="20">
        <v>0</v>
      </c>
      <c r="M72" s="59">
        <f t="shared" si="9"/>
        <v>93515540</v>
      </c>
      <c r="N72" s="20">
        <v>3309376</v>
      </c>
      <c r="O72" s="20">
        <v>0</v>
      </c>
      <c r="P72" s="20">
        <v>0</v>
      </c>
      <c r="Q72" s="20">
        <v>93345</v>
      </c>
      <c r="R72" s="20">
        <v>3964046</v>
      </c>
      <c r="S72" s="60">
        <f t="shared" si="10"/>
        <v>100882307</v>
      </c>
      <c r="T72" s="56">
        <f t="shared" si="3"/>
        <v>8.562748453843525</v>
      </c>
      <c r="U72" s="2">
        <f t="shared" si="27"/>
        <v>31798285.499999996</v>
      </c>
      <c r="V72" s="81">
        <f t="shared" si="4"/>
        <v>22722261.499999996</v>
      </c>
      <c r="W72" s="81"/>
      <c r="X72" s="81"/>
      <c r="Y72" s="99"/>
    </row>
    <row r="73" spans="1:25" ht="18.75" customHeight="1">
      <c r="A73" s="14">
        <v>52</v>
      </c>
      <c r="B73" s="18" t="s">
        <v>76</v>
      </c>
      <c r="C73" s="19">
        <f t="shared" si="5"/>
        <v>114438735</v>
      </c>
      <c r="D73" s="65">
        <v>102744232</v>
      </c>
      <c r="E73" s="20">
        <v>11694503</v>
      </c>
      <c r="F73" s="20">
        <v>251775</v>
      </c>
      <c r="G73" s="72">
        <v>0</v>
      </c>
      <c r="H73" s="61">
        <f t="shared" si="7"/>
        <v>114186960</v>
      </c>
      <c r="I73" s="61">
        <f>SUM(J73:Q73)</f>
        <v>113093080</v>
      </c>
      <c r="J73" s="20">
        <v>4003582</v>
      </c>
      <c r="K73" s="20">
        <v>190739</v>
      </c>
      <c r="L73" s="20">
        <v>0</v>
      </c>
      <c r="M73" s="59">
        <f t="shared" si="9"/>
        <v>88995021</v>
      </c>
      <c r="N73" s="20">
        <v>19889018</v>
      </c>
      <c r="O73" s="20">
        <v>1</v>
      </c>
      <c r="P73" s="20">
        <v>0</v>
      </c>
      <c r="Q73" s="20">
        <v>14719</v>
      </c>
      <c r="R73" s="20">
        <v>1093880</v>
      </c>
      <c r="S73" s="60">
        <f t="shared" si="10"/>
        <v>109992639</v>
      </c>
      <c r="T73" s="56">
        <f t="shared" si="3"/>
        <v>3.7087335493913507</v>
      </c>
      <c r="U73" s="2">
        <f t="shared" si="27"/>
        <v>33927924.00000001</v>
      </c>
      <c r="V73" s="81">
        <f t="shared" si="4"/>
        <v>29733603.000000007</v>
      </c>
      <c r="W73" s="81"/>
      <c r="X73" s="81"/>
      <c r="Y73" s="99"/>
    </row>
    <row r="74" spans="1:26" ht="18.75" customHeight="1">
      <c r="A74" s="15" t="s">
        <v>101</v>
      </c>
      <c r="B74" s="54" t="s">
        <v>77</v>
      </c>
      <c r="C74" s="19">
        <f>SUM(C75:C78)</f>
        <v>69273261</v>
      </c>
      <c r="D74" s="64">
        <f aca="true" t="shared" si="30" ref="D74:N74">SUM(D75:D78)</f>
        <v>49566362</v>
      </c>
      <c r="E74" s="19">
        <f t="shared" si="30"/>
        <v>19706899</v>
      </c>
      <c r="F74" s="19">
        <f t="shared" si="30"/>
        <v>3078431</v>
      </c>
      <c r="G74" s="71">
        <f t="shared" si="30"/>
        <v>137702506</v>
      </c>
      <c r="H74" s="19">
        <f t="shared" si="30"/>
        <v>66194830</v>
      </c>
      <c r="I74" s="19">
        <f t="shared" si="30"/>
        <v>61644771</v>
      </c>
      <c r="J74" s="19">
        <f t="shared" si="30"/>
        <v>14575363</v>
      </c>
      <c r="K74" s="19">
        <f t="shared" si="30"/>
        <v>9021197</v>
      </c>
      <c r="L74" s="19">
        <f t="shared" si="30"/>
        <v>0</v>
      </c>
      <c r="M74" s="17">
        <f>H74-J74-K74-L74-SUM(N74:R74)</f>
        <v>31494532</v>
      </c>
      <c r="N74" s="19">
        <f t="shared" si="30"/>
        <v>2066074</v>
      </c>
      <c r="O74" s="19">
        <f>SUM(O75:O78)</f>
        <v>0</v>
      </c>
      <c r="P74" s="19">
        <f>SUM(P75:P78)</f>
        <v>0</v>
      </c>
      <c r="Q74" s="19">
        <f>SUM(Q75:Q78)</f>
        <v>4487605</v>
      </c>
      <c r="R74" s="19">
        <f>SUM(R75:R78)</f>
        <v>4550059</v>
      </c>
      <c r="S74" s="19">
        <f>SUM(S75:S78)</f>
        <v>42598270</v>
      </c>
      <c r="T74" s="53">
        <f t="shared" si="3"/>
        <v>38.27828316533125</v>
      </c>
      <c r="U74" s="2">
        <f>((J74+K74)*0.31)/(T74/100)</f>
        <v>19109879.009999998</v>
      </c>
      <c r="V74" s="82">
        <f t="shared" si="4"/>
        <v>-4486680.990000002</v>
      </c>
      <c r="W74" s="88">
        <v>-712871</v>
      </c>
      <c r="X74" s="88">
        <f>V74-W74</f>
        <v>-3773809.990000002</v>
      </c>
      <c r="Y74" s="100">
        <v>31</v>
      </c>
      <c r="Z74" s="2" t="s">
        <v>133</v>
      </c>
    </row>
    <row r="75" spans="1:25" ht="18.75" customHeight="1">
      <c r="A75" s="14">
        <v>53</v>
      </c>
      <c r="B75" s="18" t="s">
        <v>78</v>
      </c>
      <c r="C75" s="19">
        <f t="shared" si="5"/>
        <v>3401987</v>
      </c>
      <c r="D75" s="65">
        <v>22737</v>
      </c>
      <c r="E75" s="20">
        <v>3379250</v>
      </c>
      <c r="F75" s="20">
        <v>2816709</v>
      </c>
      <c r="G75" s="72"/>
      <c r="H75" s="61">
        <f t="shared" si="7"/>
        <v>585278</v>
      </c>
      <c r="I75" s="61">
        <f>SUM(J75:Q75)</f>
        <v>585278</v>
      </c>
      <c r="J75" s="20">
        <v>510660</v>
      </c>
      <c r="K75" s="20"/>
      <c r="L75" s="20"/>
      <c r="M75" s="59">
        <f t="shared" si="9"/>
        <v>74618</v>
      </c>
      <c r="N75" s="20"/>
      <c r="O75" s="20"/>
      <c r="P75" s="20"/>
      <c r="Q75" s="20"/>
      <c r="R75" s="20"/>
      <c r="S75" s="60">
        <f t="shared" si="10"/>
        <v>74618</v>
      </c>
      <c r="T75" s="56">
        <f t="shared" si="3"/>
        <v>87.25084489763839</v>
      </c>
      <c r="U75" s="2">
        <f>((J75+K75)*0.31)/(T75/100)</f>
        <v>181436.18</v>
      </c>
      <c r="V75" s="81">
        <f t="shared" si="4"/>
        <v>-329223.82</v>
      </c>
      <c r="W75" s="81"/>
      <c r="X75" s="81"/>
      <c r="Y75" s="99"/>
    </row>
    <row r="76" spans="1:25" ht="18.75" customHeight="1">
      <c r="A76" s="14">
        <v>54</v>
      </c>
      <c r="B76" s="18" t="s">
        <v>121</v>
      </c>
      <c r="C76" s="19">
        <f t="shared" si="5"/>
        <v>23708064</v>
      </c>
      <c r="D76" s="65">
        <v>17389846</v>
      </c>
      <c r="E76" s="20">
        <v>6318218</v>
      </c>
      <c r="F76" s="20">
        <v>125136</v>
      </c>
      <c r="G76" s="72">
        <v>137702506</v>
      </c>
      <c r="H76" s="61">
        <f t="shared" si="7"/>
        <v>23582928</v>
      </c>
      <c r="I76" s="61">
        <f>SUM(J76:Q76)</f>
        <v>21076470</v>
      </c>
      <c r="J76" s="20">
        <v>7392036</v>
      </c>
      <c r="K76" s="20">
        <v>875807</v>
      </c>
      <c r="L76" s="20"/>
      <c r="M76" s="59">
        <f t="shared" si="9"/>
        <v>8671259</v>
      </c>
      <c r="N76" s="20">
        <v>335962</v>
      </c>
      <c r="O76" s="20"/>
      <c r="P76" s="20"/>
      <c r="Q76" s="20">
        <v>3801406</v>
      </c>
      <c r="R76" s="20">
        <v>2506458</v>
      </c>
      <c r="S76" s="60">
        <f t="shared" si="10"/>
        <v>15315085</v>
      </c>
      <c r="T76" s="56">
        <f t="shared" si="3"/>
        <v>39.22783559106435</v>
      </c>
      <c r="U76" s="2">
        <f>((J76+K76)*0.31)/(T76/100)</f>
        <v>6533705.7</v>
      </c>
      <c r="V76" s="81">
        <f t="shared" si="4"/>
        <v>-1734137.2999999998</v>
      </c>
      <c r="W76" s="81"/>
      <c r="X76" s="81"/>
      <c r="Y76" s="99"/>
    </row>
    <row r="77" spans="1:25" ht="18.75" customHeight="1">
      <c r="A77" s="14">
        <v>55</v>
      </c>
      <c r="B77" s="18" t="s">
        <v>80</v>
      </c>
      <c r="C77" s="19">
        <f t="shared" si="5"/>
        <v>12531831</v>
      </c>
      <c r="D77" s="65">
        <v>10602133</v>
      </c>
      <c r="E77" s="20">
        <v>1929698</v>
      </c>
      <c r="F77" s="20">
        <v>66875</v>
      </c>
      <c r="G77" s="72"/>
      <c r="H77" s="61">
        <f t="shared" si="7"/>
        <v>12464956</v>
      </c>
      <c r="I77" s="61">
        <f>SUM(J77:Q77)</f>
        <v>12163476</v>
      </c>
      <c r="J77" s="20">
        <v>3423390</v>
      </c>
      <c r="K77" s="20"/>
      <c r="L77" s="20"/>
      <c r="M77" s="59">
        <f t="shared" si="9"/>
        <v>7617313</v>
      </c>
      <c r="N77" s="20">
        <v>1049111</v>
      </c>
      <c r="O77" s="20"/>
      <c r="P77" s="20"/>
      <c r="Q77" s="20">
        <v>73662</v>
      </c>
      <c r="R77" s="20">
        <v>301480</v>
      </c>
      <c r="S77" s="60">
        <f t="shared" si="10"/>
        <v>9041566</v>
      </c>
      <c r="T77" s="56">
        <f>IF(ISERROR((J77+K77+L77)/I77*100)=TRUE,0,(J77+K77+L77)/I77*100)</f>
        <v>28.144832940846843</v>
      </c>
      <c r="U77" s="2">
        <f>((J77+K77)*0.31)/(T77/100)</f>
        <v>3770677.56</v>
      </c>
      <c r="V77" s="81">
        <f>U77-(J77+K77)</f>
        <v>347287.56000000006</v>
      </c>
      <c r="W77" s="81"/>
      <c r="X77" s="81"/>
      <c r="Y77" s="99"/>
    </row>
    <row r="78" spans="1:25" ht="18.75" customHeight="1">
      <c r="A78" s="14">
        <v>56</v>
      </c>
      <c r="B78" s="18" t="s">
        <v>81</v>
      </c>
      <c r="C78" s="19">
        <f>D78+E78</f>
        <v>29631379</v>
      </c>
      <c r="D78" s="65">
        <v>21551646</v>
      </c>
      <c r="E78" s="20">
        <v>8079733</v>
      </c>
      <c r="F78" s="20">
        <v>69711</v>
      </c>
      <c r="G78" s="72"/>
      <c r="H78" s="61">
        <f t="shared" si="7"/>
        <v>29561668</v>
      </c>
      <c r="I78" s="61">
        <f>SUM(J78:Q78)</f>
        <v>27819547</v>
      </c>
      <c r="J78" s="20">
        <v>3249277</v>
      </c>
      <c r="K78" s="20">
        <v>8145390</v>
      </c>
      <c r="L78" s="20"/>
      <c r="M78" s="59">
        <f t="shared" si="9"/>
        <v>15131342</v>
      </c>
      <c r="N78" s="20">
        <v>681001</v>
      </c>
      <c r="O78" s="20"/>
      <c r="P78" s="20"/>
      <c r="Q78" s="20">
        <v>612537</v>
      </c>
      <c r="R78" s="20">
        <v>1742121</v>
      </c>
      <c r="S78" s="60">
        <f t="shared" si="10"/>
        <v>18167001</v>
      </c>
      <c r="T78" s="56">
        <f>IF(ISERROR((J78+K78+L78)/I78*100)=TRUE,0,(J78+K78+L78)/I78*100)</f>
        <v>40.959211161849616</v>
      </c>
      <c r="U78" s="2">
        <f>((J78+K78)*0.31)/(T78/100)</f>
        <v>8624059.57</v>
      </c>
      <c r="V78" s="81">
        <f>U78-(J78+K78)</f>
        <v>-2770607.4299999997</v>
      </c>
      <c r="W78" s="81"/>
      <c r="X78" s="81"/>
      <c r="Y78" s="99"/>
    </row>
    <row r="79" spans="2:19" ht="20.25" customHeight="1">
      <c r="B79" s="9"/>
      <c r="C79" s="9"/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54" t="s">
        <v>124</v>
      </c>
      <c r="Q79" s="154"/>
      <c r="R79" s="154"/>
      <c r="S79" s="154"/>
    </row>
    <row r="80" spans="2:19" ht="15.75" customHeight="1">
      <c r="B80" s="1" t="s">
        <v>28</v>
      </c>
      <c r="C80" s="9"/>
      <c r="D80" s="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2" t="s">
        <v>94</v>
      </c>
      <c r="Q80" s="172"/>
      <c r="R80" s="172"/>
      <c r="S80" s="172"/>
    </row>
    <row r="81" spans="16:19" ht="15.75" customHeight="1">
      <c r="P81" s="155" t="s">
        <v>95</v>
      </c>
      <c r="Q81" s="155"/>
      <c r="R81" s="155"/>
      <c r="S81" s="155"/>
    </row>
    <row r="82" ht="23.25" customHeight="1"/>
    <row r="83" ht="23.25" customHeight="1"/>
    <row r="84" spans="2:19" ht="36.75" customHeight="1">
      <c r="B84" s="68" t="s">
        <v>105</v>
      </c>
      <c r="P84" s="155" t="s">
        <v>83</v>
      </c>
      <c r="Q84" s="155"/>
      <c r="R84" s="155"/>
      <c r="S84" s="155"/>
    </row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spans="1:25" s="21" customFormat="1" ht="23.25" customHeight="1">
      <c r="A114" s="13"/>
      <c r="D114" s="67"/>
      <c r="T114" s="13"/>
      <c r="Y114" s="98"/>
    </row>
    <row r="115" ht="23.25" customHeight="1"/>
    <row r="116" ht="23.25" customHeight="1"/>
    <row r="117" ht="23.25" customHeight="1"/>
    <row r="118" ht="23.25" customHeight="1"/>
    <row r="119" spans="4:25" s="13" customFormat="1" ht="11.25">
      <c r="D119" s="67"/>
      <c r="Y119" s="96"/>
    </row>
    <row r="120" spans="4:25" s="13" customFormat="1" ht="11.25">
      <c r="D120" s="67"/>
      <c r="Y120" s="96"/>
    </row>
    <row r="121" spans="4:25" s="13" customFormat="1" ht="11.25" hidden="1">
      <c r="D121" s="67"/>
      <c r="Y121" s="96"/>
    </row>
    <row r="122" spans="4:25" s="13" customFormat="1" ht="11.25">
      <c r="D122" s="67"/>
      <c r="Y122" s="96"/>
    </row>
    <row r="123" spans="4:25" s="13" customFormat="1" ht="11.25">
      <c r="D123" s="67"/>
      <c r="Y123" s="96"/>
    </row>
    <row r="124" spans="4:25" s="13" customFormat="1" ht="11.25">
      <c r="D124" s="67"/>
      <c r="Y124" s="96"/>
    </row>
    <row r="125" spans="4:25" s="13" customFormat="1" ht="11.25">
      <c r="D125" s="67"/>
      <c r="Y125" s="96"/>
    </row>
    <row r="126" spans="4:25" s="13" customFormat="1" ht="11.25">
      <c r="D126" s="67"/>
      <c r="Y126" s="96"/>
    </row>
    <row r="127" spans="4:25" s="13" customFormat="1" ht="11.25">
      <c r="D127" s="67"/>
      <c r="Y127" s="96"/>
    </row>
    <row r="128" spans="4:25" s="13" customFormat="1" ht="11.25">
      <c r="D128" s="67"/>
      <c r="Y128" s="96"/>
    </row>
    <row r="129" spans="4:25" s="13" customFormat="1" ht="11.25">
      <c r="D129" s="67"/>
      <c r="Y129" s="96"/>
    </row>
    <row r="130" spans="4:25" s="13" customFormat="1" ht="11.25">
      <c r="D130" s="67"/>
      <c r="Y130" s="96"/>
    </row>
    <row r="131" spans="4:25" s="13" customFormat="1" ht="11.25">
      <c r="D131" s="67"/>
      <c r="Y131" s="96"/>
    </row>
    <row r="132" spans="4:25" s="13" customFormat="1" ht="7.5" customHeight="1">
      <c r="D132" s="67"/>
      <c r="Y132" s="96"/>
    </row>
    <row r="133" spans="4:25" s="13" customFormat="1" ht="11.25">
      <c r="D133" s="67"/>
      <c r="Y133" s="96"/>
    </row>
    <row r="134" ht="15.75" customHeight="1"/>
    <row r="138" spans="4:25" s="13" customFormat="1" ht="11.25">
      <c r="D138" s="67"/>
      <c r="Y138" s="96"/>
    </row>
    <row r="143" spans="4:25" s="13" customFormat="1" ht="15.75" customHeight="1">
      <c r="D143" s="67"/>
      <c r="Y143" s="96"/>
    </row>
  </sheetData>
  <sheetProtection/>
  <mergeCells count="42">
    <mergeCell ref="V6:V10"/>
    <mergeCell ref="R7:R10"/>
    <mergeCell ref="A11:B11"/>
    <mergeCell ref="I8:I10"/>
    <mergeCell ref="J8:Q8"/>
    <mergeCell ref="Y6:Y10"/>
    <mergeCell ref="P9:P10"/>
    <mergeCell ref="W6:X6"/>
    <mergeCell ref="W7:W10"/>
    <mergeCell ref="X7:X10"/>
    <mergeCell ref="A6:B10"/>
    <mergeCell ref="T6:T10"/>
    <mergeCell ref="C7:C10"/>
    <mergeCell ref="D7:E8"/>
    <mergeCell ref="O9:O10"/>
    <mergeCell ref="S6:S10"/>
    <mergeCell ref="D9:D10"/>
    <mergeCell ref="E9:E10"/>
    <mergeCell ref="P81:S81"/>
    <mergeCell ref="P80:S80"/>
    <mergeCell ref="K9:K10"/>
    <mergeCell ref="L9:L10"/>
    <mergeCell ref="M9:M10"/>
    <mergeCell ref="G6:G10"/>
    <mergeCell ref="H6:R6"/>
    <mergeCell ref="R2:T2"/>
    <mergeCell ref="R3:T3"/>
    <mergeCell ref="C6:E6"/>
    <mergeCell ref="F6:F10"/>
    <mergeCell ref="Q9:Q10"/>
    <mergeCell ref="H7:H10"/>
    <mergeCell ref="I7:Q7"/>
    <mergeCell ref="E4:Q4"/>
    <mergeCell ref="J9:J10"/>
    <mergeCell ref="N9:N10"/>
    <mergeCell ref="P79:S79"/>
    <mergeCell ref="P84:S84"/>
    <mergeCell ref="A1:B1"/>
    <mergeCell ref="C1:Q1"/>
    <mergeCell ref="R1:T1"/>
    <mergeCell ref="A2:B2"/>
    <mergeCell ref="C2:Q2"/>
  </mergeCells>
  <printOptions horizontalCentered="1"/>
  <pageMargins left="0.24" right="0" top="0.21" bottom="0.2" header="0.21" footer="0.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2016-09-06T03:08:59Z</cp:lastPrinted>
  <dcterms:created xsi:type="dcterms:W3CDTF">2015-04-03T07:03:43Z</dcterms:created>
  <dcterms:modified xsi:type="dcterms:W3CDTF">2016-09-22T02:17:05Z</dcterms:modified>
  <cp:category/>
  <cp:version/>
  <cp:contentType/>
  <cp:contentStatus/>
</cp:coreProperties>
</file>